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udget - Tax Rate\Budget 2015\Approved Budget\"/>
    </mc:Choice>
  </mc:AlternateContent>
  <bookViews>
    <workbookView xWindow="0" yWindow="0" windowWidth="20490" windowHeight="7365"/>
  </bookViews>
  <sheets>
    <sheet name="FY 2015 (2014.09.23 Approved)" sheetId="2" r:id="rId1"/>
  </sheets>
  <definedNames>
    <definedName name="_xlnm._FilterDatabase" localSheetId="0" hidden="1">'FY 2015 (2014.09.23 Approved)'!$B$8:$W$199</definedName>
    <definedName name="_xlnm.Print_Area" localSheetId="0">'FY 2015 (2014.09.23 Approved)'!$B$9:$X$199</definedName>
    <definedName name="_xlnm.Print_Titles" localSheetId="0">'FY 2015 (2014.09.23 Approved)'!$B:$E,'FY 2015 (2014.09.23 Approved)'!$1:$8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4" i="2" l="1"/>
  <c r="R26" i="2"/>
  <c r="H26" i="2"/>
  <c r="Q131" i="2"/>
  <c r="Q115" i="2"/>
  <c r="Q67" i="2"/>
  <c r="Q36" i="2"/>
  <c r="Q28" i="2"/>
  <c r="Q30" i="2" s="1"/>
  <c r="Q22" i="2"/>
  <c r="Q18" i="2"/>
  <c r="G26" i="2"/>
  <c r="N67" i="2"/>
  <c r="N115" i="2"/>
  <c r="N36" i="2"/>
  <c r="N131" i="2"/>
  <c r="N28" i="2"/>
  <c r="N30" i="2" s="1"/>
  <c r="N22" i="2"/>
  <c r="N18" i="2"/>
  <c r="W191" i="2"/>
  <c r="S191" i="2"/>
  <c r="R191" i="2"/>
  <c r="O191" i="2"/>
  <c r="L191" i="2"/>
  <c r="J191" i="2"/>
  <c r="H191" i="2"/>
  <c r="T190" i="2"/>
  <c r="T189" i="2"/>
  <c r="T188" i="2"/>
  <c r="T187" i="2"/>
  <c r="T186" i="2"/>
  <c r="I190" i="2"/>
  <c r="K190" i="2" s="1"/>
  <c r="M190" i="2" s="1"/>
  <c r="P190" i="2" s="1"/>
  <c r="I189" i="2"/>
  <c r="K189" i="2" s="1"/>
  <c r="M189" i="2" s="1"/>
  <c r="P189" i="2" s="1"/>
  <c r="I188" i="2"/>
  <c r="K188" i="2" s="1"/>
  <c r="M188" i="2" s="1"/>
  <c r="P188" i="2" s="1"/>
  <c r="I187" i="2"/>
  <c r="I186" i="2"/>
  <c r="K186" i="2" s="1"/>
  <c r="M186" i="2" s="1"/>
  <c r="P186" i="2" s="1"/>
  <c r="G191" i="2"/>
  <c r="I183" i="2"/>
  <c r="K183" i="2" s="1"/>
  <c r="M183" i="2" s="1"/>
  <c r="P183" i="2" s="1"/>
  <c r="I182" i="2"/>
  <c r="K182" i="2" s="1"/>
  <c r="M182" i="2" s="1"/>
  <c r="P182" i="2" s="1"/>
  <c r="I181" i="2"/>
  <c r="K181" i="2" s="1"/>
  <c r="M181" i="2" s="1"/>
  <c r="P181" i="2" s="1"/>
  <c r="I180" i="2"/>
  <c r="K180" i="2" s="1"/>
  <c r="M180" i="2" s="1"/>
  <c r="P180" i="2" s="1"/>
  <c r="I179" i="2"/>
  <c r="K179" i="2" s="1"/>
  <c r="M179" i="2" s="1"/>
  <c r="P179" i="2" s="1"/>
  <c r="I178" i="2"/>
  <c r="K178" i="2" s="1"/>
  <c r="M178" i="2" s="1"/>
  <c r="P178" i="2" s="1"/>
  <c r="I177" i="2"/>
  <c r="K177" i="2" s="1"/>
  <c r="M177" i="2" s="1"/>
  <c r="P177" i="2" s="1"/>
  <c r="I176" i="2"/>
  <c r="K176" i="2" s="1"/>
  <c r="M176" i="2" s="1"/>
  <c r="P176" i="2" s="1"/>
  <c r="I175" i="2"/>
  <c r="K175" i="2" s="1"/>
  <c r="M175" i="2" s="1"/>
  <c r="P175" i="2" s="1"/>
  <c r="T183" i="2"/>
  <c r="T182" i="2"/>
  <c r="T181" i="2"/>
  <c r="T180" i="2"/>
  <c r="T179" i="2"/>
  <c r="T178" i="2"/>
  <c r="T177" i="2"/>
  <c r="T176" i="2"/>
  <c r="T175" i="2"/>
  <c r="W184" i="2"/>
  <c r="S184" i="2"/>
  <c r="R184" i="2"/>
  <c r="O184" i="2"/>
  <c r="L184" i="2"/>
  <c r="J184" i="2"/>
  <c r="H184" i="2"/>
  <c r="G184" i="2"/>
  <c r="T172" i="2"/>
  <c r="T171" i="2"/>
  <c r="T170" i="2"/>
  <c r="I172" i="2"/>
  <c r="K172" i="2" s="1"/>
  <c r="M172" i="2" s="1"/>
  <c r="P172" i="2" s="1"/>
  <c r="I171" i="2"/>
  <c r="I170" i="2"/>
  <c r="K170" i="2" s="1"/>
  <c r="M170" i="2" s="1"/>
  <c r="P170" i="2" s="1"/>
  <c r="W173" i="2"/>
  <c r="S173" i="2"/>
  <c r="R173" i="2"/>
  <c r="O173" i="2"/>
  <c r="L173" i="2"/>
  <c r="J173" i="2"/>
  <c r="H173" i="2"/>
  <c r="G173" i="2"/>
  <c r="T167" i="2"/>
  <c r="T166" i="2"/>
  <c r="T165" i="2"/>
  <c r="T164" i="2"/>
  <c r="T163" i="2"/>
  <c r="T162" i="2"/>
  <c r="I167" i="2"/>
  <c r="K167" i="2" s="1"/>
  <c r="M167" i="2" s="1"/>
  <c r="P167" i="2" s="1"/>
  <c r="I166" i="2"/>
  <c r="K166" i="2" s="1"/>
  <c r="M166" i="2" s="1"/>
  <c r="P166" i="2" s="1"/>
  <c r="I165" i="2"/>
  <c r="K165" i="2" s="1"/>
  <c r="M165" i="2" s="1"/>
  <c r="P165" i="2" s="1"/>
  <c r="I164" i="2"/>
  <c r="K164" i="2" s="1"/>
  <c r="M164" i="2" s="1"/>
  <c r="P164" i="2" s="1"/>
  <c r="I163" i="2"/>
  <c r="K163" i="2" s="1"/>
  <c r="M163" i="2" s="1"/>
  <c r="P163" i="2" s="1"/>
  <c r="I162" i="2"/>
  <c r="K162" i="2" s="1"/>
  <c r="M162" i="2" s="1"/>
  <c r="P162" i="2" s="1"/>
  <c r="W168" i="2"/>
  <c r="S168" i="2"/>
  <c r="R168" i="2"/>
  <c r="O168" i="2"/>
  <c r="L168" i="2"/>
  <c r="J168" i="2"/>
  <c r="H168" i="2"/>
  <c r="G168" i="2"/>
  <c r="T158" i="2"/>
  <c r="T157" i="2"/>
  <c r="T156" i="2"/>
  <c r="T155" i="2"/>
  <c r="I158" i="2"/>
  <c r="K158" i="2" s="1"/>
  <c r="M158" i="2" s="1"/>
  <c r="P158" i="2" s="1"/>
  <c r="I157" i="2"/>
  <c r="K157" i="2" s="1"/>
  <c r="M157" i="2" s="1"/>
  <c r="P157" i="2" s="1"/>
  <c r="I156" i="2"/>
  <c r="I155" i="2"/>
  <c r="K155" i="2" s="1"/>
  <c r="W159" i="2"/>
  <c r="S159" i="2"/>
  <c r="R159" i="2"/>
  <c r="O159" i="2"/>
  <c r="L159" i="2"/>
  <c r="J159" i="2"/>
  <c r="H159" i="2"/>
  <c r="G159" i="2"/>
  <c r="T151" i="2"/>
  <c r="T150" i="2"/>
  <c r="T149" i="2"/>
  <c r="T148" i="2"/>
  <c r="T147" i="2"/>
  <c r="W152" i="2"/>
  <c r="S152" i="2"/>
  <c r="R152" i="2"/>
  <c r="O152" i="2"/>
  <c r="L152" i="2"/>
  <c r="J152" i="2"/>
  <c r="H152" i="2"/>
  <c r="I151" i="2"/>
  <c r="K151" i="2" s="1"/>
  <c r="M151" i="2" s="1"/>
  <c r="P151" i="2" s="1"/>
  <c r="I150" i="2"/>
  <c r="K150" i="2" s="1"/>
  <c r="M150" i="2" s="1"/>
  <c r="P150" i="2" s="1"/>
  <c r="I149" i="2"/>
  <c r="K149" i="2" s="1"/>
  <c r="M149" i="2" s="1"/>
  <c r="P149" i="2" s="1"/>
  <c r="I148" i="2"/>
  <c r="K148" i="2" s="1"/>
  <c r="M148" i="2" s="1"/>
  <c r="P148" i="2" s="1"/>
  <c r="I147" i="2"/>
  <c r="K147" i="2" s="1"/>
  <c r="M147" i="2" s="1"/>
  <c r="P147" i="2" s="1"/>
  <c r="G152" i="2"/>
  <c r="I144" i="2"/>
  <c r="K144" i="2" s="1"/>
  <c r="M144" i="2" s="1"/>
  <c r="P144" i="2" s="1"/>
  <c r="I143" i="2"/>
  <c r="K143" i="2" s="1"/>
  <c r="M143" i="2" s="1"/>
  <c r="P143" i="2" s="1"/>
  <c r="I142" i="2"/>
  <c r="K142" i="2" s="1"/>
  <c r="M142" i="2" s="1"/>
  <c r="P142" i="2" s="1"/>
  <c r="I141" i="2"/>
  <c r="K141" i="2" s="1"/>
  <c r="M141" i="2" s="1"/>
  <c r="P141" i="2" s="1"/>
  <c r="I140" i="2"/>
  <c r="K140" i="2" s="1"/>
  <c r="M140" i="2" s="1"/>
  <c r="P140" i="2" s="1"/>
  <c r="I139" i="2"/>
  <c r="K139" i="2" s="1"/>
  <c r="T144" i="2"/>
  <c r="T143" i="2"/>
  <c r="T142" i="2"/>
  <c r="T141" i="2"/>
  <c r="T140" i="2"/>
  <c r="T139" i="2"/>
  <c r="W145" i="2"/>
  <c r="S145" i="2"/>
  <c r="R145" i="2"/>
  <c r="O145" i="2"/>
  <c r="L145" i="2"/>
  <c r="J145" i="2"/>
  <c r="H145" i="2"/>
  <c r="G145" i="2"/>
  <c r="W137" i="2"/>
  <c r="S137" i="2"/>
  <c r="R137" i="2"/>
  <c r="O137" i="2"/>
  <c r="L137" i="2"/>
  <c r="J137" i="2"/>
  <c r="H137" i="2"/>
  <c r="W131" i="2"/>
  <c r="S131" i="2"/>
  <c r="R131" i="2"/>
  <c r="O131" i="2"/>
  <c r="L131" i="2"/>
  <c r="H131" i="2"/>
  <c r="W119" i="2"/>
  <c r="W115" i="2"/>
  <c r="W84" i="2"/>
  <c r="S84" i="2"/>
  <c r="R84" i="2"/>
  <c r="O84" i="2"/>
  <c r="L84" i="2"/>
  <c r="H84" i="2"/>
  <c r="G84" i="2"/>
  <c r="I107" i="2"/>
  <c r="K107" i="2" s="1"/>
  <c r="M107" i="2" s="1"/>
  <c r="P107" i="2" s="1"/>
  <c r="I106" i="2"/>
  <c r="K106" i="2" s="1"/>
  <c r="M106" i="2" s="1"/>
  <c r="P106" i="2" s="1"/>
  <c r="I105" i="2"/>
  <c r="K105" i="2" s="1"/>
  <c r="M105" i="2" s="1"/>
  <c r="P105" i="2" s="1"/>
  <c r="T107" i="2"/>
  <c r="T106" i="2"/>
  <c r="T105" i="2"/>
  <c r="W108" i="2"/>
  <c r="S108" i="2"/>
  <c r="R108" i="2"/>
  <c r="O108" i="2"/>
  <c r="L108" i="2"/>
  <c r="J108" i="2"/>
  <c r="H108" i="2"/>
  <c r="G108" i="2"/>
  <c r="T102" i="2"/>
  <c r="T101" i="2"/>
  <c r="T100" i="2"/>
  <c r="T99" i="2"/>
  <c r="T98" i="2"/>
  <c r="T97" i="2"/>
  <c r="T96" i="2"/>
  <c r="J101" i="2"/>
  <c r="J103" i="2" s="1"/>
  <c r="W103" i="2"/>
  <c r="S103" i="2"/>
  <c r="R103" i="2"/>
  <c r="O103" i="2"/>
  <c r="L103" i="2"/>
  <c r="H103" i="2"/>
  <c r="I102" i="2"/>
  <c r="K102" i="2" s="1"/>
  <c r="M102" i="2" s="1"/>
  <c r="P102" i="2" s="1"/>
  <c r="I101" i="2"/>
  <c r="K101" i="2" s="1"/>
  <c r="M101" i="2" s="1"/>
  <c r="P101" i="2" s="1"/>
  <c r="I100" i="2"/>
  <c r="K100" i="2" s="1"/>
  <c r="M100" i="2" s="1"/>
  <c r="P100" i="2" s="1"/>
  <c r="I99" i="2"/>
  <c r="K99" i="2" s="1"/>
  <c r="M99" i="2" s="1"/>
  <c r="P99" i="2" s="1"/>
  <c r="I98" i="2"/>
  <c r="K98" i="2" s="1"/>
  <c r="I97" i="2"/>
  <c r="K97" i="2" s="1"/>
  <c r="M97" i="2" s="1"/>
  <c r="P97" i="2" s="1"/>
  <c r="I96" i="2"/>
  <c r="K96" i="2" s="1"/>
  <c r="M96" i="2" s="1"/>
  <c r="P96" i="2" s="1"/>
  <c r="G103" i="2"/>
  <c r="T93" i="2"/>
  <c r="T92" i="2"/>
  <c r="T91" i="2"/>
  <c r="I93" i="2"/>
  <c r="K93" i="2" s="1"/>
  <c r="M93" i="2" s="1"/>
  <c r="P93" i="2" s="1"/>
  <c r="I92" i="2"/>
  <c r="I91" i="2"/>
  <c r="K91" i="2" s="1"/>
  <c r="M91" i="2" s="1"/>
  <c r="P91" i="2" s="1"/>
  <c r="W94" i="2"/>
  <c r="S94" i="2"/>
  <c r="R94" i="2"/>
  <c r="O94" i="2"/>
  <c r="L94" i="2"/>
  <c r="J94" i="2"/>
  <c r="H94" i="2"/>
  <c r="G94" i="2"/>
  <c r="T88" i="2"/>
  <c r="T87" i="2"/>
  <c r="T86" i="2"/>
  <c r="R89" i="2"/>
  <c r="W89" i="2"/>
  <c r="S89" i="2"/>
  <c r="O89" i="2"/>
  <c r="L89" i="2"/>
  <c r="J89" i="2"/>
  <c r="H89" i="2"/>
  <c r="I88" i="2"/>
  <c r="K88" i="2" s="1"/>
  <c r="M88" i="2" s="1"/>
  <c r="P88" i="2" s="1"/>
  <c r="I87" i="2"/>
  <c r="K87" i="2" s="1"/>
  <c r="M87" i="2" s="1"/>
  <c r="P87" i="2" s="1"/>
  <c r="I86" i="2"/>
  <c r="K86" i="2" s="1"/>
  <c r="M86" i="2" s="1"/>
  <c r="P86" i="2" s="1"/>
  <c r="G89" i="2"/>
  <c r="O21" i="2"/>
  <c r="O197" i="2"/>
  <c r="O123" i="2"/>
  <c r="O119" i="2"/>
  <c r="O115" i="2"/>
  <c r="O77" i="2"/>
  <c r="O71" i="2"/>
  <c r="O66" i="2"/>
  <c r="O61" i="2"/>
  <c r="O63" i="2" s="1"/>
  <c r="O56" i="2"/>
  <c r="O47" i="2"/>
  <c r="O36" i="2"/>
  <c r="O17" i="2"/>
  <c r="O18" i="2" s="1"/>
  <c r="T184" i="2" l="1"/>
  <c r="T94" i="2"/>
  <c r="I94" i="2"/>
  <c r="T152" i="2"/>
  <c r="N124" i="2"/>
  <c r="N199" i="2" s="1"/>
  <c r="Q24" i="2"/>
  <c r="K92" i="2"/>
  <c r="M92" i="2" s="1"/>
  <c r="P92" i="2" s="1"/>
  <c r="P94" i="2" s="1"/>
  <c r="G109" i="2"/>
  <c r="I173" i="2"/>
  <c r="S192" i="2"/>
  <c r="W192" i="2"/>
  <c r="W193" i="2" s="1"/>
  <c r="T145" i="2"/>
  <c r="T159" i="2"/>
  <c r="H192" i="2"/>
  <c r="L192" i="2"/>
  <c r="R192" i="2"/>
  <c r="T168" i="2"/>
  <c r="T173" i="2"/>
  <c r="J192" i="2"/>
  <c r="I191" i="2"/>
  <c r="T191" i="2"/>
  <c r="Q31" i="2"/>
  <c r="Q124" i="2"/>
  <c r="Q199" i="2" s="1"/>
  <c r="O192" i="2"/>
  <c r="O193" i="2" s="1"/>
  <c r="O198" i="2" s="1"/>
  <c r="O29" i="2" s="1"/>
  <c r="N24" i="2"/>
  <c r="N31" i="2" s="1"/>
  <c r="P184" i="2"/>
  <c r="K187" i="2"/>
  <c r="M187" i="2" s="1"/>
  <c r="P187" i="2" s="1"/>
  <c r="I168" i="2"/>
  <c r="K171" i="2"/>
  <c r="I184" i="2"/>
  <c r="K184" i="2"/>
  <c r="M184" i="2"/>
  <c r="M168" i="2"/>
  <c r="P168" i="2"/>
  <c r="K168" i="2"/>
  <c r="I159" i="2"/>
  <c r="M155" i="2"/>
  <c r="P155" i="2" s="1"/>
  <c r="P152" i="2"/>
  <c r="K156" i="2"/>
  <c r="M156" i="2" s="1"/>
  <c r="I152" i="2"/>
  <c r="K152" i="2"/>
  <c r="M152" i="2"/>
  <c r="T108" i="2"/>
  <c r="I145" i="2"/>
  <c r="M139" i="2"/>
  <c r="K145" i="2"/>
  <c r="T89" i="2"/>
  <c r="O109" i="2"/>
  <c r="O110" i="2" s="1"/>
  <c r="R109" i="2"/>
  <c r="W109" i="2"/>
  <c r="H109" i="2"/>
  <c r="L109" i="2"/>
  <c r="S109" i="2"/>
  <c r="W76" i="2"/>
  <c r="W77" i="2" s="1"/>
  <c r="M108" i="2"/>
  <c r="P108" i="2"/>
  <c r="T103" i="2"/>
  <c r="I108" i="2"/>
  <c r="K108" i="2"/>
  <c r="M98" i="2"/>
  <c r="K103" i="2"/>
  <c r="I103" i="2"/>
  <c r="M94" i="2"/>
  <c r="M89" i="2"/>
  <c r="P89" i="2"/>
  <c r="I89" i="2"/>
  <c r="K89" i="2"/>
  <c r="O22" i="2"/>
  <c r="O24" i="2" s="1"/>
  <c r="S197" i="2"/>
  <c r="R197" i="2"/>
  <c r="L197" i="2"/>
  <c r="H197" i="2"/>
  <c r="G197" i="2"/>
  <c r="T196" i="2"/>
  <c r="J196" i="2"/>
  <c r="I196" i="2"/>
  <c r="T195" i="2"/>
  <c r="J195" i="2"/>
  <c r="I195" i="2"/>
  <c r="T160" i="2"/>
  <c r="I160" i="2"/>
  <c r="K160" i="2" s="1"/>
  <c r="M160" i="2" s="1"/>
  <c r="P160" i="2" s="1"/>
  <c r="T153" i="2"/>
  <c r="I153" i="2"/>
  <c r="K153" i="2" s="1"/>
  <c r="M153" i="2" s="1"/>
  <c r="P153" i="2" s="1"/>
  <c r="T136" i="2"/>
  <c r="I136" i="2"/>
  <c r="K136" i="2" s="1"/>
  <c r="M136" i="2" s="1"/>
  <c r="P136" i="2" s="1"/>
  <c r="T135" i="2"/>
  <c r="I135" i="2"/>
  <c r="K135" i="2" s="1"/>
  <c r="M135" i="2" s="1"/>
  <c r="P135" i="2" s="1"/>
  <c r="T134" i="2"/>
  <c r="G134" i="2"/>
  <c r="G137" i="2" s="1"/>
  <c r="G192" i="2" s="1"/>
  <c r="T130" i="2"/>
  <c r="G130" i="2"/>
  <c r="I130" i="2" s="1"/>
  <c r="K130" i="2" s="1"/>
  <c r="M130" i="2" s="1"/>
  <c r="P130" i="2" s="1"/>
  <c r="T129" i="2"/>
  <c r="I129" i="2"/>
  <c r="K129" i="2" s="1"/>
  <c r="M129" i="2" s="1"/>
  <c r="P129" i="2" s="1"/>
  <c r="T128" i="2"/>
  <c r="J128" i="2"/>
  <c r="J131" i="2" s="1"/>
  <c r="G128" i="2"/>
  <c r="S123" i="2"/>
  <c r="L123" i="2"/>
  <c r="J123" i="2"/>
  <c r="H123" i="2"/>
  <c r="W122" i="2"/>
  <c r="W123" i="2" s="1"/>
  <c r="R122" i="2"/>
  <c r="G122" i="2"/>
  <c r="T121" i="2"/>
  <c r="I121" i="2"/>
  <c r="S119" i="2"/>
  <c r="R119" i="2"/>
  <c r="L119" i="2"/>
  <c r="H119" i="2"/>
  <c r="G119" i="2"/>
  <c r="T118" i="2"/>
  <c r="J118" i="2"/>
  <c r="J119" i="2" s="1"/>
  <c r="I118" i="2"/>
  <c r="T117" i="2"/>
  <c r="I117" i="2"/>
  <c r="K117" i="2" s="1"/>
  <c r="M117" i="2" s="1"/>
  <c r="P117" i="2" s="1"/>
  <c r="S115" i="2"/>
  <c r="R115" i="2"/>
  <c r="G115" i="2"/>
  <c r="T114" i="2"/>
  <c r="L114" i="2"/>
  <c r="L115" i="2" s="1"/>
  <c r="I114" i="2"/>
  <c r="K114" i="2" s="1"/>
  <c r="T113" i="2"/>
  <c r="J113" i="2"/>
  <c r="H113" i="2"/>
  <c r="I113" i="2" s="1"/>
  <c r="T112" i="2"/>
  <c r="I112" i="2"/>
  <c r="K112" i="2" s="1"/>
  <c r="T83" i="2"/>
  <c r="I83" i="2"/>
  <c r="K83" i="2" s="1"/>
  <c r="M83" i="2" s="1"/>
  <c r="P83" i="2" s="1"/>
  <c r="T82" i="2"/>
  <c r="J82" i="2"/>
  <c r="I82" i="2"/>
  <c r="T81" i="2"/>
  <c r="J81" i="2"/>
  <c r="I81" i="2"/>
  <c r="T80" i="2"/>
  <c r="J80" i="2"/>
  <c r="I80" i="2"/>
  <c r="T79" i="2"/>
  <c r="J79" i="2"/>
  <c r="I79" i="2"/>
  <c r="S77" i="2"/>
  <c r="R77" i="2"/>
  <c r="L77" i="2"/>
  <c r="H77" i="2"/>
  <c r="T76" i="2"/>
  <c r="J76" i="2"/>
  <c r="J77" i="2" s="1"/>
  <c r="I76" i="2"/>
  <c r="T75" i="2"/>
  <c r="G75" i="2"/>
  <c r="I75" i="2" s="1"/>
  <c r="K75" i="2" s="1"/>
  <c r="M75" i="2" s="1"/>
  <c r="P75" i="2" s="1"/>
  <c r="T74" i="2"/>
  <c r="G74" i="2"/>
  <c r="R71" i="2"/>
  <c r="L71" i="2"/>
  <c r="J71" i="2"/>
  <c r="H71" i="2"/>
  <c r="G71" i="2"/>
  <c r="W70" i="2"/>
  <c r="W71" i="2" s="1"/>
  <c r="S70" i="2"/>
  <c r="I70" i="2"/>
  <c r="K70" i="2" s="1"/>
  <c r="M70" i="2" s="1"/>
  <c r="P70" i="2" s="1"/>
  <c r="T69" i="2"/>
  <c r="I69" i="2"/>
  <c r="S66" i="2"/>
  <c r="R66" i="2"/>
  <c r="L66" i="2"/>
  <c r="J66" i="2"/>
  <c r="H66" i="2"/>
  <c r="G66" i="2"/>
  <c r="T65" i="2"/>
  <c r="I65" i="2"/>
  <c r="K65" i="2" s="1"/>
  <c r="M65" i="2" s="1"/>
  <c r="P65" i="2" s="1"/>
  <c r="T62" i="2"/>
  <c r="J62" i="2"/>
  <c r="I62" i="2"/>
  <c r="R61" i="2"/>
  <c r="R63" i="2" s="1"/>
  <c r="L61" i="2"/>
  <c r="L63" i="2" s="1"/>
  <c r="J61" i="2"/>
  <c r="J63" i="2" s="1"/>
  <c r="H61" i="2"/>
  <c r="H63" i="2" s="1"/>
  <c r="G61" i="2"/>
  <c r="G63" i="2" s="1"/>
  <c r="S60" i="2"/>
  <c r="T60" i="2" s="1"/>
  <c r="I60" i="2"/>
  <c r="K60" i="2" s="1"/>
  <c r="M60" i="2" s="1"/>
  <c r="P60" i="2" s="1"/>
  <c r="T59" i="2"/>
  <c r="I59" i="2"/>
  <c r="K59" i="2" s="1"/>
  <c r="M59" i="2" s="1"/>
  <c r="P59" i="2" s="1"/>
  <c r="T58" i="2"/>
  <c r="I58" i="2"/>
  <c r="K58" i="2" s="1"/>
  <c r="M58" i="2" s="1"/>
  <c r="P58" i="2" s="1"/>
  <c r="S56" i="2"/>
  <c r="L56" i="2"/>
  <c r="J56" i="2"/>
  <c r="H56" i="2"/>
  <c r="G56" i="2"/>
  <c r="T55" i="2"/>
  <c r="I55" i="2"/>
  <c r="K55" i="2" s="1"/>
  <c r="M55" i="2" s="1"/>
  <c r="P55" i="2" s="1"/>
  <c r="R54" i="2"/>
  <c r="T54" i="2" s="1"/>
  <c r="I54" i="2"/>
  <c r="K54" i="2" s="1"/>
  <c r="M54" i="2" s="1"/>
  <c r="P54" i="2" s="1"/>
  <c r="T53" i="2"/>
  <c r="I53" i="2"/>
  <c r="K53" i="2" s="1"/>
  <c r="M53" i="2" s="1"/>
  <c r="P53" i="2" s="1"/>
  <c r="T52" i="2"/>
  <c r="I52" i="2"/>
  <c r="T50" i="2"/>
  <c r="I50" i="2"/>
  <c r="K50" i="2" s="1"/>
  <c r="M50" i="2" s="1"/>
  <c r="P50" i="2" s="1"/>
  <c r="S49" i="2"/>
  <c r="J49" i="2"/>
  <c r="J26" i="2" s="1"/>
  <c r="I49" i="2"/>
  <c r="I26" i="2" s="1"/>
  <c r="S47" i="2"/>
  <c r="R47" i="2"/>
  <c r="L47" i="2"/>
  <c r="J47" i="2"/>
  <c r="H47" i="2"/>
  <c r="G47" i="2"/>
  <c r="T46" i="2"/>
  <c r="I46" i="2"/>
  <c r="K46" i="2" s="1"/>
  <c r="M46" i="2" s="1"/>
  <c r="P46" i="2" s="1"/>
  <c r="T45" i="2"/>
  <c r="I45" i="2"/>
  <c r="K45" i="2" s="1"/>
  <c r="M45" i="2" s="1"/>
  <c r="P45" i="2" s="1"/>
  <c r="T44" i="2"/>
  <c r="I44" i="2"/>
  <c r="K44" i="2" s="1"/>
  <c r="M44" i="2" s="1"/>
  <c r="P44" i="2" s="1"/>
  <c r="T43" i="2"/>
  <c r="I43" i="2"/>
  <c r="K43" i="2" s="1"/>
  <c r="M43" i="2" s="1"/>
  <c r="P43" i="2" s="1"/>
  <c r="T42" i="2"/>
  <c r="I42" i="2"/>
  <c r="K42" i="2" s="1"/>
  <c r="M42" i="2" s="1"/>
  <c r="P42" i="2" s="1"/>
  <c r="T41" i="2"/>
  <c r="I41" i="2"/>
  <c r="K41" i="2" s="1"/>
  <c r="R36" i="2"/>
  <c r="L36" i="2"/>
  <c r="H36" i="2"/>
  <c r="G36" i="2"/>
  <c r="T35" i="2"/>
  <c r="I35" i="2"/>
  <c r="K35" i="2" s="1"/>
  <c r="M35" i="2" s="1"/>
  <c r="P35" i="2" s="1"/>
  <c r="S34" i="2"/>
  <c r="S36" i="2" s="1"/>
  <c r="I34" i="2"/>
  <c r="K34" i="2" s="1"/>
  <c r="M34" i="2" s="1"/>
  <c r="P34" i="2" s="1"/>
  <c r="T33" i="2"/>
  <c r="J33" i="2"/>
  <c r="I33" i="2"/>
  <c r="S22" i="2"/>
  <c r="R22" i="2"/>
  <c r="L22" i="2"/>
  <c r="J22" i="2"/>
  <c r="G22" i="2"/>
  <c r="T21" i="2"/>
  <c r="I21" i="2"/>
  <c r="K21" i="2" s="1"/>
  <c r="M21" i="2" s="1"/>
  <c r="P21" i="2" s="1"/>
  <c r="T20" i="2"/>
  <c r="H20" i="2"/>
  <c r="I20" i="2" s="1"/>
  <c r="K20" i="2" s="1"/>
  <c r="M20" i="2" s="1"/>
  <c r="P20" i="2" s="1"/>
  <c r="S17" i="2"/>
  <c r="S18" i="2" s="1"/>
  <c r="R17" i="2"/>
  <c r="R18" i="2" s="1"/>
  <c r="L17" i="2"/>
  <c r="J17" i="2"/>
  <c r="H17" i="2"/>
  <c r="H18" i="2" s="1"/>
  <c r="G17" i="2"/>
  <c r="T16" i="2"/>
  <c r="I16" i="2"/>
  <c r="K16" i="2" s="1"/>
  <c r="M16" i="2" s="1"/>
  <c r="P16" i="2" s="1"/>
  <c r="T15" i="2"/>
  <c r="I15" i="2"/>
  <c r="K15" i="2" s="1"/>
  <c r="T13" i="2"/>
  <c r="J13" i="2"/>
  <c r="G13" i="2"/>
  <c r="T12" i="2"/>
  <c r="I12" i="2"/>
  <c r="T9" i="2"/>
  <c r="I9" i="2"/>
  <c r="J9" i="2" s="1"/>
  <c r="I71" i="2" l="1"/>
  <c r="J115" i="2"/>
  <c r="T131" i="2"/>
  <c r="G77" i="2"/>
  <c r="G110" i="2" s="1"/>
  <c r="I56" i="2"/>
  <c r="I22" i="2"/>
  <c r="I66" i="2"/>
  <c r="T137" i="2"/>
  <c r="K94" i="2"/>
  <c r="K191" i="2"/>
  <c r="M191" i="2"/>
  <c r="P98" i="2"/>
  <c r="P103" i="2" s="1"/>
  <c r="M145" i="2"/>
  <c r="P139" i="2"/>
  <c r="P145" i="2" s="1"/>
  <c r="P156" i="2"/>
  <c r="P159" i="2" s="1"/>
  <c r="T192" i="2"/>
  <c r="T49" i="2"/>
  <c r="T26" i="2" s="1"/>
  <c r="S26" i="2"/>
  <c r="J84" i="2"/>
  <c r="J109" i="2" s="1"/>
  <c r="J110" i="2" s="1"/>
  <c r="G131" i="2"/>
  <c r="G193" i="2" s="1"/>
  <c r="G198" i="2" s="1"/>
  <c r="G29" i="2" s="1"/>
  <c r="W198" i="2"/>
  <c r="M171" i="2"/>
  <c r="P171" i="2" s="1"/>
  <c r="K173" i="2"/>
  <c r="P191" i="2"/>
  <c r="M159" i="2"/>
  <c r="K159" i="2"/>
  <c r="I84" i="2"/>
  <c r="I109" i="2" s="1"/>
  <c r="T84" i="2"/>
  <c r="T109" i="2" s="1"/>
  <c r="J193" i="2"/>
  <c r="W110" i="2"/>
  <c r="W124" i="2" s="1"/>
  <c r="M103" i="2"/>
  <c r="H110" i="2"/>
  <c r="M114" i="2"/>
  <c r="P114" i="2" s="1"/>
  <c r="H193" i="2"/>
  <c r="H198" i="2" s="1"/>
  <c r="H29" i="2" s="1"/>
  <c r="J36" i="2"/>
  <c r="G18" i="2"/>
  <c r="G24" i="2" s="1"/>
  <c r="K33" i="2"/>
  <c r="M33" i="2" s="1"/>
  <c r="P33" i="2" s="1"/>
  <c r="S24" i="2"/>
  <c r="J67" i="2"/>
  <c r="I13" i="2"/>
  <c r="K13" i="2" s="1"/>
  <c r="M13" i="2" s="1"/>
  <c r="P13" i="2" s="1"/>
  <c r="T22" i="2"/>
  <c r="T56" i="2"/>
  <c r="G67" i="2"/>
  <c r="K62" i="2"/>
  <c r="M62" i="2" s="1"/>
  <c r="T66" i="2"/>
  <c r="K76" i="2"/>
  <c r="M76" i="2" s="1"/>
  <c r="P76" i="2" s="1"/>
  <c r="K113" i="2"/>
  <c r="M113" i="2" s="1"/>
  <c r="P113" i="2" s="1"/>
  <c r="I119" i="2"/>
  <c r="R193" i="2"/>
  <c r="R198" i="2" s="1"/>
  <c r="R29" i="2" s="1"/>
  <c r="S193" i="2"/>
  <c r="S198" i="2" s="1"/>
  <c r="S29" i="2" s="1"/>
  <c r="J197" i="2"/>
  <c r="K196" i="2"/>
  <c r="M196" i="2" s="1"/>
  <c r="P196" i="2" s="1"/>
  <c r="M61" i="2"/>
  <c r="I61" i="2"/>
  <c r="I63" i="2" s="1"/>
  <c r="H115" i="2"/>
  <c r="I17" i="2"/>
  <c r="T17" i="2"/>
  <c r="T18" i="2" s="1"/>
  <c r="J18" i="2"/>
  <c r="J24" i="2" s="1"/>
  <c r="R24" i="2"/>
  <c r="T34" i="2"/>
  <c r="T36" i="2" s="1"/>
  <c r="T47" i="2"/>
  <c r="K52" i="2"/>
  <c r="K56" i="2" s="1"/>
  <c r="H67" i="2"/>
  <c r="T61" i="2"/>
  <c r="T63" i="2" s="1"/>
  <c r="K69" i="2"/>
  <c r="K71" i="2" s="1"/>
  <c r="I74" i="2"/>
  <c r="K74" i="2" s="1"/>
  <c r="L110" i="2"/>
  <c r="S110" i="2"/>
  <c r="K81" i="2"/>
  <c r="M81" i="2" s="1"/>
  <c r="P81" i="2" s="1"/>
  <c r="R110" i="2"/>
  <c r="I115" i="2"/>
  <c r="T115" i="2"/>
  <c r="T119" i="2"/>
  <c r="L193" i="2"/>
  <c r="L198" i="2" s="1"/>
  <c r="L29" i="2" s="1"/>
  <c r="I134" i="2"/>
  <c r="I197" i="2"/>
  <c r="T197" i="2"/>
  <c r="K12" i="2"/>
  <c r="K47" i="2"/>
  <c r="M41" i="2"/>
  <c r="P41" i="2" s="1"/>
  <c r="K9" i="2"/>
  <c r="K17" i="2"/>
  <c r="M15" i="2"/>
  <c r="P15" i="2" s="1"/>
  <c r="H22" i="2"/>
  <c r="H24" i="2" s="1"/>
  <c r="I36" i="2"/>
  <c r="I47" i="2"/>
  <c r="T122" i="2"/>
  <c r="T123" i="2" s="1"/>
  <c r="R123" i="2"/>
  <c r="K49" i="2"/>
  <c r="K26" i="2" s="1"/>
  <c r="R56" i="2"/>
  <c r="R67" i="2" s="1"/>
  <c r="K61" i="2"/>
  <c r="S61" i="2"/>
  <c r="S63" i="2" s="1"/>
  <c r="S67" i="2" s="1"/>
  <c r="S71" i="2"/>
  <c r="T70" i="2"/>
  <c r="T71" i="2" s="1"/>
  <c r="G123" i="2"/>
  <c r="I122" i="2"/>
  <c r="K122" i="2" s="1"/>
  <c r="M122" i="2" s="1"/>
  <c r="P122" i="2" s="1"/>
  <c r="K195" i="2"/>
  <c r="T77" i="2"/>
  <c r="K79" i="2"/>
  <c r="K80" i="2"/>
  <c r="M80" i="2" s="1"/>
  <c r="P80" i="2" s="1"/>
  <c r="K82" i="2"/>
  <c r="M82" i="2" s="1"/>
  <c r="P82" i="2" s="1"/>
  <c r="M112" i="2"/>
  <c r="P112" i="2" s="1"/>
  <c r="K118" i="2"/>
  <c r="K121" i="2"/>
  <c r="I128" i="2"/>
  <c r="I131" i="2" s="1"/>
  <c r="K66" i="2" l="1"/>
  <c r="J124" i="2"/>
  <c r="J27" i="2" s="1"/>
  <c r="J28" i="2" s="1"/>
  <c r="I67" i="2"/>
  <c r="H124" i="2"/>
  <c r="H27" i="2" s="1"/>
  <c r="H28" i="2" s="1"/>
  <c r="H30" i="2" s="1"/>
  <c r="H31" i="2" s="1"/>
  <c r="W199" i="2"/>
  <c r="G124" i="2"/>
  <c r="G27" i="2" s="1"/>
  <c r="G28" i="2" s="1"/>
  <c r="G30" i="2" s="1"/>
  <c r="S124" i="2"/>
  <c r="S27" i="2" s="1"/>
  <c r="S28" i="2" s="1"/>
  <c r="S30" i="2" s="1"/>
  <c r="S31" i="2" s="1"/>
  <c r="R124" i="2"/>
  <c r="R27" i="2" s="1"/>
  <c r="R28" i="2" s="1"/>
  <c r="R30" i="2" s="1"/>
  <c r="R31" i="2" s="1"/>
  <c r="M63" i="2"/>
  <c r="P61" i="2"/>
  <c r="P62" i="2"/>
  <c r="J198" i="2"/>
  <c r="J29" i="2" s="1"/>
  <c r="P173" i="2"/>
  <c r="M173" i="2"/>
  <c r="K134" i="2"/>
  <c r="I137" i="2"/>
  <c r="K84" i="2"/>
  <c r="K109" i="2" s="1"/>
  <c r="M69" i="2"/>
  <c r="T24" i="2"/>
  <c r="I123" i="2"/>
  <c r="K115" i="2"/>
  <c r="K63" i="2"/>
  <c r="M52" i="2"/>
  <c r="K36" i="2"/>
  <c r="T193" i="2"/>
  <c r="T198" i="2" s="1"/>
  <c r="T29" i="2" s="1"/>
  <c r="K77" i="2"/>
  <c r="T110" i="2"/>
  <c r="M74" i="2"/>
  <c r="I77" i="2"/>
  <c r="I110" i="2" s="1"/>
  <c r="I18" i="2"/>
  <c r="I24" i="2" s="1"/>
  <c r="M17" i="2"/>
  <c r="P17" i="2" s="1"/>
  <c r="M115" i="2"/>
  <c r="P115" i="2"/>
  <c r="M66" i="2"/>
  <c r="P66" i="2"/>
  <c r="M47" i="2"/>
  <c r="P47" i="2"/>
  <c r="M36" i="2"/>
  <c r="P36" i="2"/>
  <c r="T67" i="2"/>
  <c r="K128" i="2"/>
  <c r="K131" i="2" s="1"/>
  <c r="K123" i="2"/>
  <c r="M121" i="2"/>
  <c r="P121" i="2" s="1"/>
  <c r="M118" i="2"/>
  <c r="P118" i="2" s="1"/>
  <c r="K119" i="2"/>
  <c r="M195" i="2"/>
  <c r="P195" i="2" s="1"/>
  <c r="K197" i="2"/>
  <c r="M79" i="2"/>
  <c r="L49" i="2"/>
  <c r="K22" i="2"/>
  <c r="L9" i="2"/>
  <c r="M9" i="2" s="1"/>
  <c r="P9" i="2" s="1"/>
  <c r="K18" i="2"/>
  <c r="L12" i="2"/>
  <c r="L18" i="2" s="1"/>
  <c r="L24" i="2" s="1"/>
  <c r="K67" i="2" l="1"/>
  <c r="J30" i="2"/>
  <c r="J31" i="2" s="1"/>
  <c r="J199" i="2"/>
  <c r="R199" i="2"/>
  <c r="T124" i="2"/>
  <c r="T27" i="2" s="1"/>
  <c r="T28" i="2" s="1"/>
  <c r="T30" i="2" s="1"/>
  <c r="T31" i="2" s="1"/>
  <c r="G199" i="2"/>
  <c r="S199" i="2"/>
  <c r="I124" i="2"/>
  <c r="I27" i="2" s="1"/>
  <c r="I28" i="2" s="1"/>
  <c r="P63" i="2"/>
  <c r="M84" i="2"/>
  <c r="M109" i="2" s="1"/>
  <c r="P79" i="2"/>
  <c r="M56" i="2"/>
  <c r="P52" i="2"/>
  <c r="P56" i="2" s="1"/>
  <c r="L67" i="2"/>
  <c r="L124" i="2" s="1"/>
  <c r="L26" i="2"/>
  <c r="P74" i="2"/>
  <c r="P77" i="2" s="1"/>
  <c r="M71" i="2"/>
  <c r="P69" i="2"/>
  <c r="P71" i="2" s="1"/>
  <c r="I192" i="2"/>
  <c r="I193" i="2" s="1"/>
  <c r="I198" i="2" s="1"/>
  <c r="I29" i="2" s="1"/>
  <c r="M77" i="2"/>
  <c r="M134" i="2"/>
  <c r="P134" i="2" s="1"/>
  <c r="K137" i="2"/>
  <c r="K110" i="2"/>
  <c r="K24" i="2"/>
  <c r="M22" i="2"/>
  <c r="P22" i="2"/>
  <c r="M123" i="2"/>
  <c r="P123" i="2"/>
  <c r="M197" i="2"/>
  <c r="P197" i="2"/>
  <c r="M119" i="2"/>
  <c r="P119" i="2"/>
  <c r="H199" i="2"/>
  <c r="M49" i="2"/>
  <c r="M12" i="2"/>
  <c r="P12" i="2" s="1"/>
  <c r="M128" i="2"/>
  <c r="G31" i="2"/>
  <c r="K124" i="2" l="1"/>
  <c r="K27" i="2" s="1"/>
  <c r="K28" i="2" s="1"/>
  <c r="I30" i="2"/>
  <c r="I31" i="2" s="1"/>
  <c r="I199" i="2"/>
  <c r="M110" i="2"/>
  <c r="T199" i="2"/>
  <c r="L27" i="2"/>
  <c r="L28" i="2" s="1"/>
  <c r="L30" i="2" s="1"/>
  <c r="L31" i="2" s="1"/>
  <c r="L199" i="2"/>
  <c r="M26" i="2"/>
  <c r="M131" i="2"/>
  <c r="P128" i="2"/>
  <c r="K192" i="2"/>
  <c r="K193" i="2" s="1"/>
  <c r="K198" i="2" s="1"/>
  <c r="M137" i="2"/>
  <c r="M192" i="2" s="1"/>
  <c r="P84" i="2"/>
  <c r="P109" i="2" s="1"/>
  <c r="P110" i="2" s="1"/>
  <c r="M18" i="2"/>
  <c r="M24" i="2" s="1"/>
  <c r="P18" i="2"/>
  <c r="P24" i="2" s="1"/>
  <c r="M67" i="2"/>
  <c r="M124" i="2" s="1"/>
  <c r="M27" i="2" s="1"/>
  <c r="M28" i="2" s="1"/>
  <c r="O49" i="2"/>
  <c r="M193" i="2" l="1"/>
  <c r="M198" i="2" s="1"/>
  <c r="M29" i="2" s="1"/>
  <c r="M30" i="2" s="1"/>
  <c r="M31" i="2" s="1"/>
  <c r="K29" i="2"/>
  <c r="K30" i="2" s="1"/>
  <c r="K31" i="2" s="1"/>
  <c r="K199" i="2"/>
  <c r="O67" i="2"/>
  <c r="O124" i="2" s="1"/>
  <c r="O199" i="2" s="1"/>
  <c r="O26" i="2"/>
  <c r="P49" i="2"/>
  <c r="P26" i="2" s="1"/>
  <c r="P137" i="2"/>
  <c r="P192" i="2" s="1"/>
  <c r="P131" i="2"/>
  <c r="M199" i="2" l="1"/>
  <c r="O27" i="2"/>
  <c r="O28" i="2" s="1"/>
  <c r="O30" i="2" s="1"/>
  <c r="O31" i="2" s="1"/>
  <c r="P67" i="2"/>
  <c r="P124" i="2" s="1"/>
  <c r="P27" i="2" s="1"/>
  <c r="P28" i="2" s="1"/>
  <c r="P193" i="2"/>
  <c r="P198" i="2" s="1"/>
  <c r="P199" i="2" l="1"/>
  <c r="P29" i="2"/>
  <c r="P30" i="2" s="1"/>
  <c r="P31" i="2" s="1"/>
</calcChain>
</file>

<file path=xl/sharedStrings.xml><?xml version="1.0" encoding="utf-8"?>
<sst xmlns="http://schemas.openxmlformats.org/spreadsheetml/2006/main" count="421" uniqueCount="285">
  <si>
    <t>Attachment A</t>
  </si>
  <si>
    <t>FISCAL YEAR 2015 ($ millions)</t>
  </si>
  <si>
    <t>CENTRAL HEALTH</t>
  </si>
  <si>
    <t>Revenue and Expense Summary</t>
  </si>
  <si>
    <t>&lt;--- hide this row when printing ATTACHMENT B - Expense Detail --&gt;</t>
  </si>
  <si>
    <t>Expense Detail</t>
  </si>
  <si>
    <t>&lt;--- hide this row when printing ATTACHMENT A - Summary --&gt;</t>
  </si>
  <si>
    <t>Attachment B</t>
  </si>
  <si>
    <t xml:space="preserve">                             DESCRIPTION</t>
  </si>
  <si>
    <t>Notes</t>
  </si>
  <si>
    <t>1
FY15 PRELIM
7/24/14</t>
  </si>
  <si>
    <t>2 VS 1</t>
  </si>
  <si>
    <t>2
FY15 PRELIM
8/6/14</t>
  </si>
  <si>
    <t>3 VS 2</t>
  </si>
  <si>
    <t>3
FY15 PRELIM
8/15/14</t>
  </si>
  <si>
    <t>FY 2014 
APPROVED BUDGET</t>
  </si>
  <si>
    <t>FY14 
AMEND-
MENTS</t>
  </si>
  <si>
    <t>FY 2014 
AMENDED 
BUDGET</t>
  </si>
  <si>
    <t>ACCT</t>
  </si>
  <si>
    <t>CTR</t>
  </si>
  <si>
    <t>FY 2014 
GL DETAIL</t>
  </si>
  <si>
    <t>TAX RATE</t>
  </si>
  <si>
    <t>SOURCES OF FUNDS</t>
  </si>
  <si>
    <t>Revenues:</t>
  </si>
  <si>
    <t>Property tax revenue</t>
  </si>
  <si>
    <t>Rollback tax rate 12.64 cents; certified assessed value $120B; v4 shown at 100%.</t>
  </si>
  <si>
    <t>Seton lease revenue</t>
  </si>
  <si>
    <t>v3:  $31,637,380 is per Seton worksheet; base is $1.8M + 14% UMCB net patient revs.</t>
  </si>
  <si>
    <t>Other revenue:</t>
  </si>
  <si>
    <t>Tobacco settlement revenue</t>
  </si>
  <si>
    <t>$300k higher than previous year budget (just an estimate).</t>
  </si>
  <si>
    <t>Interest revenue</t>
  </si>
  <si>
    <t>Same as previous year budget.</t>
  </si>
  <si>
    <t>Other revenue</t>
  </si>
  <si>
    <t>Sum of Tobacco settlement revenue + Interest revenue.</t>
  </si>
  <si>
    <t>Revenues</t>
  </si>
  <si>
    <t>Contributions &amp; other sources:</t>
  </si>
  <si>
    <t>Contribution from HMO risk-based capital</t>
  </si>
  <si>
    <t>2nd $4M addtl xfr of FY14 apprvd by BOM after 7/24 slides -&gt; $4,883,000 exact.</t>
  </si>
  <si>
    <t>Contingency appropriation</t>
  </si>
  <si>
    <t>FYE14 est. (7/24/14): Sources $235.4M Uses $154.6M = $80.8M FYE14 surplus.</t>
  </si>
  <si>
    <t>Contributions &amp; other sources</t>
  </si>
  <si>
    <t>Other sources</t>
  </si>
  <si>
    <t>TOTAL SOURCES</t>
  </si>
  <si>
    <t>USES OF FUNDS</t>
  </si>
  <si>
    <t>Indigent care payment to CCC</t>
  </si>
  <si>
    <t>7886</t>
  </si>
  <si>
    <t>Healthcare delivery program</t>
  </si>
  <si>
    <t>Formula total -&gt; see "Expense Detail" below.</t>
  </si>
  <si>
    <t>Administration program</t>
  </si>
  <si>
    <t>Emergency reserve</t>
  </si>
  <si>
    <t>TOTAL USES</t>
  </si>
  <si>
    <t>SOURCES &amp; USES, NET</t>
  </si>
  <si>
    <t>FISCAL YEAR END RESERVE BALANCES</t>
  </si>
  <si>
    <t>Capital reserve</t>
  </si>
  <si>
    <t>FYE14 1.2+FY15xfr 11.3=12.5 less SEHWC 9.5;Brack re-use 1;CUC capital 2=$0 FYE15</t>
  </si>
  <si>
    <t>HMO risk-based capital reserve</t>
  </si>
  <si>
    <t>By FYE15, $4,883,000 remainder in original HMO reserve will be xfrd to HMO.</t>
  </si>
  <si>
    <t>Same as previous year budget (reserve amt is fixed)</t>
  </si>
  <si>
    <t>TOTAL RESERVES</t>
  </si>
  <si>
    <t>EXPENSE DETAIL</t>
  </si>
  <si>
    <t>HEALTHCARE DELIVERY</t>
  </si>
  <si>
    <t>Intergovernmental transfers:</t>
  </si>
  <si>
    <t>I G T  - private UC</t>
  </si>
  <si>
    <t>7833</t>
  </si>
  <si>
    <t>I G T  - public UC</t>
  </si>
  <si>
    <t>7834</t>
  </si>
  <si>
    <t>751</t>
  </si>
  <si>
    <t>I G T  - Disproportionate Share</t>
  </si>
  <si>
    <t>7835</t>
  </si>
  <si>
    <t>I G T  - CCC DSRIP</t>
  </si>
  <si>
    <t>7837</t>
  </si>
  <si>
    <t>752</t>
  </si>
  <si>
    <t>I G T  - Seton DSRIP</t>
  </si>
  <si>
    <t>7838</t>
  </si>
  <si>
    <t>753</t>
  </si>
  <si>
    <t>I G T  - St Davids DSRIP</t>
  </si>
  <si>
    <t>Intergovernmental transfers</t>
  </si>
  <si>
    <t>Providers &amp; charity care:</t>
  </si>
  <si>
    <t>Charity care - Seton</t>
  </si>
  <si>
    <t>Same as FY14 budget $4,251,733 -&gt; no CPI-U multiplier for FY15.</t>
  </si>
  <si>
    <t>7830</t>
  </si>
  <si>
    <t>Medical providers:</t>
  </si>
  <si>
    <t>ATCIC note 1:  CPI-U Mar13 232.773, Mar14 236.293 -&gt; change = $3.52 or 1.51%</t>
  </si>
  <si>
    <t>ATCIC</t>
  </si>
  <si>
    <t>ATCIC note 2: Contract14 $7,925,319 x 101.51% = $8,045,166 (with Respite Svcs $267,600)</t>
  </si>
  <si>
    <t>7823</t>
  </si>
  <si>
    <t>621</t>
  </si>
  <si>
    <t>Planned Parenthood</t>
  </si>
  <si>
    <t>7821</t>
  </si>
  <si>
    <t>7841</t>
  </si>
  <si>
    <t>Integrated Care Collaboration (ICC)</t>
  </si>
  <si>
    <t>For FY15 -&gt; Central Health member contribution &amp; dues $617,275.</t>
  </si>
  <si>
    <t>Other costs, including ACA subsidy</t>
  </si>
  <si>
    <t>Medical providers</t>
  </si>
  <si>
    <t>New initiatives:</t>
  </si>
  <si>
    <t>United Way</t>
  </si>
  <si>
    <t>962</t>
  </si>
  <si>
    <t>Sendero</t>
  </si>
  <si>
    <t>This is a placeholder budget line.</t>
  </si>
  <si>
    <t>980</t>
  </si>
  <si>
    <t>ACA education, enrollment</t>
  </si>
  <si>
    <t>ACA pgm $1.667M less $150k in FY14 svc expnsn = $1.517M in FY15</t>
  </si>
  <si>
    <t>ACA education and enrollment</t>
  </si>
  <si>
    <t>Health promotion</t>
  </si>
  <si>
    <t>Gross cost $500k less $350k inhouse staff contribution = $150k net cost FY15</t>
  </si>
  <si>
    <t>New initiatives</t>
  </si>
  <si>
    <t>Other:</t>
  </si>
  <si>
    <t>Miscellaneous</t>
  </si>
  <si>
    <t>Other</t>
  </si>
  <si>
    <t>Providers &amp; charity care</t>
  </si>
  <si>
    <t>Service expansion:</t>
  </si>
  <si>
    <t>Beginning of year appropriation</t>
  </si>
  <si>
    <t>7890</t>
  </si>
  <si>
    <t>699</t>
  </si>
  <si>
    <t>Allocations to approved uses</t>
  </si>
  <si>
    <t>Service expansion</t>
  </si>
  <si>
    <t>Personnel &amp; operating expenses:</t>
  </si>
  <si>
    <t>Personnel expenses:</t>
  </si>
  <si>
    <t>Salary</t>
  </si>
  <si>
    <t>5710</t>
  </si>
  <si>
    <t>950</t>
  </si>
  <si>
    <t>951</t>
  </si>
  <si>
    <t>Benefits</t>
  </si>
  <si>
    <t>5850</t>
  </si>
  <si>
    <t>Salary &amp; benefits billed to others</t>
  </si>
  <si>
    <t>Personnel expenses</t>
  </si>
  <si>
    <t>7/24 &amp; 8/6 = FY14 budget + $200k;  8/15 -&gt; PCN106.3 -&gt; $2,446,402 (46.50 FTEs)</t>
  </si>
  <si>
    <t>Operating expenses:</t>
  </si>
  <si>
    <t>Legal</t>
  </si>
  <si>
    <t>6320</t>
  </si>
  <si>
    <t>602</t>
  </si>
  <si>
    <t>Consulting</t>
  </si>
  <si>
    <t>6350</t>
  </si>
  <si>
    <t>Investment services (Travis County)</t>
  </si>
  <si>
    <t>Benefits &amp; payroll administrative services</t>
  </si>
  <si>
    <t>Other professional services</t>
  </si>
  <si>
    <t>6366</t>
  </si>
  <si>
    <t>Marketing &amp; community relations</t>
  </si>
  <si>
    <t>6170</t>
  </si>
  <si>
    <t>Leases, security &amp; maintenance</t>
  </si>
  <si>
    <t>Insurance &amp; risk management</t>
  </si>
  <si>
    <t>Phones, computer equipment &amp; utilities</t>
  </si>
  <si>
    <t xml:space="preserve">           Computer Hardware/Peripherals</t>
  </si>
  <si>
    <t>6420</t>
  </si>
  <si>
    <t xml:space="preserve">               Computer Software</t>
  </si>
  <si>
    <t>6430</t>
  </si>
  <si>
    <t xml:space="preserve">               Cellular Phone</t>
  </si>
  <si>
    <t>7547</t>
  </si>
  <si>
    <t>Printing, copying, postage &amp; signage</t>
  </si>
  <si>
    <t xml:space="preserve">               Postage</t>
  </si>
  <si>
    <t>6131</t>
  </si>
  <si>
    <t xml:space="preserve">               Printing</t>
  </si>
  <si>
    <t>6191</t>
  </si>
  <si>
    <t xml:space="preserve">               Copying</t>
  </si>
  <si>
    <t>6200</t>
  </si>
  <si>
    <t>Meetings, travel &amp; professional development</t>
  </si>
  <si>
    <t xml:space="preserve">               Transport-Mileage Employees</t>
  </si>
  <si>
    <t>6391</t>
  </si>
  <si>
    <t xml:space="preserve">               Contracted Transportation</t>
  </si>
  <si>
    <t>6392</t>
  </si>
  <si>
    <t xml:space="preserve">     Supplies - Meetings/Refreshments</t>
  </si>
  <si>
    <t>6443</t>
  </si>
  <si>
    <t xml:space="preserve">               Professional Memberships</t>
  </si>
  <si>
    <t>6452</t>
  </si>
  <si>
    <t xml:space="preserve">               Travel for Training/Seminars</t>
  </si>
  <si>
    <t>6453</t>
  </si>
  <si>
    <t xml:space="preserve">    Prof. Development-Training &amp; Seminars</t>
  </si>
  <si>
    <t>6454</t>
  </si>
  <si>
    <t xml:space="preserve"> Prof. Development-Professional Licenses</t>
  </si>
  <si>
    <t>6455</t>
  </si>
  <si>
    <t>Other operating expenses</t>
  </si>
  <si>
    <t>Drafts 1, 2, 3: FY14 Budget $41,634 +/- $ as needed to reach Sources=Uses.</t>
  </si>
  <si>
    <t xml:space="preserve">               Office Supplies</t>
  </si>
  <si>
    <t>6441</t>
  </si>
  <si>
    <t xml:space="preserve">               Minor Furniture &amp; Equipment</t>
  </si>
  <si>
    <t>6445</t>
  </si>
  <si>
    <t xml:space="preserve">               Subscriptions and Publications</t>
  </si>
  <si>
    <t>6451</t>
  </si>
  <si>
    <t>Operating expenses</t>
  </si>
  <si>
    <t>v3 cuts operating exp. to reconcile to 8/15 BAF slide show. Add some $ back for v4.</t>
  </si>
  <si>
    <t>Personnel &amp; operating expenses</t>
  </si>
  <si>
    <t>Reserves, appropriated uses &amp; transfers:</t>
  </si>
  <si>
    <t>Transfer to capital reserve</t>
  </si>
  <si>
    <t>$11.5M uses -&gt; SEHWC 1 $0.8M + 2 $8.7M; Brack reuse $0.5M; CUC $1.5M.</t>
  </si>
  <si>
    <t>Sendero risk-based capital</t>
  </si>
  <si>
    <t>2nd $4M addtl xfr of FY14 apprvd by BOM after 7/24 slides = $4.883M remainder.</t>
  </si>
  <si>
    <t>Contingency appropriation (Source) -&gt; 100% is appropriated as (Use).</t>
  </si>
  <si>
    <t>Reserves, appropriated uses &amp; transfers</t>
  </si>
  <si>
    <t>Debt service:</t>
  </si>
  <si>
    <t>Debt service - principal retirement</t>
  </si>
  <si>
    <t>Scheduled:  $935k principal retirement on 3/1/2015.</t>
  </si>
  <si>
    <t>Debt service - interest &amp; amortized costs</t>
  </si>
  <si>
    <t>Scheduled:  3/1/2015 $222,007 + 9/1/2015 $214,200 = $436,207.</t>
  </si>
  <si>
    <t>9211</t>
  </si>
  <si>
    <t>601</t>
  </si>
  <si>
    <t>Debt service</t>
  </si>
  <si>
    <t>Depreciation, net effect on working capital:</t>
  </si>
  <si>
    <t>Depreciation</t>
  </si>
  <si>
    <t>6308</t>
  </si>
  <si>
    <t>600</t>
  </si>
  <si>
    <t>Depreciation, non-use of working capital</t>
  </si>
  <si>
    <t>Depreciation, net effect on working capital</t>
  </si>
  <si>
    <t>TOTAL HEALTHCARE DELIVERY</t>
  </si>
  <si>
    <t>ADMINISTRATION</t>
  </si>
  <si>
    <t>850</t>
  </si>
  <si>
    <t>900</t>
  </si>
  <si>
    <t>910</t>
  </si>
  <si>
    <t>920</t>
  </si>
  <si>
    <t>940</t>
  </si>
  <si>
    <t>5950</t>
  </si>
  <si>
    <t>7/24 &amp; 8/6 = FY14 budget.  8/15 is based on PCN106.3 $4,008,281 (32.25 FTEs)</t>
  </si>
  <si>
    <t>Baseline: FY14 apprvd budget $611,500 + $200k for addtl Travis Co legal.</t>
  </si>
  <si>
    <t>Source data:  D. Laudermilk 5/2/14 proposed budget $91,233.61</t>
  </si>
  <si>
    <t>6601</t>
  </si>
  <si>
    <t xml:space="preserve">               Employee Relations</t>
  </si>
  <si>
    <t>6250</t>
  </si>
  <si>
    <t xml:space="preserve">               Employee Recruiting</t>
  </si>
  <si>
    <t>6253</t>
  </si>
  <si>
    <t xml:space="preserve">               Pension Administration Expense</t>
  </si>
  <si>
    <t>6340</t>
  </si>
  <si>
    <t xml:space="preserve">               Benefits Services</t>
  </si>
  <si>
    <t>6345</t>
  </si>
  <si>
    <t xml:space="preserve">               Payroll Services</t>
  </si>
  <si>
    <t>6380</t>
  </si>
  <si>
    <t xml:space="preserve">               Contracted Employee</t>
  </si>
  <si>
    <t>7725</t>
  </si>
  <si>
    <t xml:space="preserve">               Accounting Services</t>
  </si>
  <si>
    <t>6310</t>
  </si>
  <si>
    <t xml:space="preserve">               Bank Fees</t>
  </si>
  <si>
    <t>6311</t>
  </si>
  <si>
    <t xml:space="preserve">               Professional Services (Other)</t>
  </si>
  <si>
    <t xml:space="preserve">               Legislative Services</t>
  </si>
  <si>
    <t>6487</t>
  </si>
  <si>
    <t xml:space="preserve">               Computer Support</t>
  </si>
  <si>
    <t>6603</t>
  </si>
  <si>
    <t>840</t>
  </si>
  <si>
    <t xml:space="preserve">               Security</t>
  </si>
  <si>
    <t>6150</t>
  </si>
  <si>
    <t xml:space="preserve">               Custodial Services</t>
  </si>
  <si>
    <t>6605</t>
  </si>
  <si>
    <t xml:space="preserve">               Rent/Lease</t>
  </si>
  <si>
    <t>7510</t>
  </si>
  <si>
    <t xml:space="preserve">               General Maintenance</t>
  </si>
  <si>
    <t>7530</t>
  </si>
  <si>
    <t>6180</t>
  </si>
  <si>
    <t xml:space="preserve">               Computer Hardware/Peripherals</t>
  </si>
  <si>
    <t xml:space="preserve">               Records Storage Services</t>
  </si>
  <si>
    <t>6606</t>
  </si>
  <si>
    <t xml:space="preserve">               Utilities</t>
  </si>
  <si>
    <t>7541</t>
  </si>
  <si>
    <t xml:space="preserve">               Telephone Lines</t>
  </si>
  <si>
    <t>7545</t>
  </si>
  <si>
    <t xml:space="preserve">               Travel - Business</t>
  </si>
  <si>
    <t>6393</t>
  </si>
  <si>
    <t xml:space="preserve">   Supplies - Meetings/Refreshments</t>
  </si>
  <si>
    <t xml:space="preserve">               Business Mtgs/Meals - CEO</t>
  </si>
  <si>
    <t>6444</t>
  </si>
  <si>
    <t xml:space="preserve"> Prof. Development-Training &amp; Seminars</t>
  </si>
  <si>
    <t xml:space="preserve">  Prof. Development-Professional Licenses</t>
  </si>
  <si>
    <t xml:space="preserve">               Community Action Network (CAN)</t>
  </si>
  <si>
    <t>6602</t>
  </si>
  <si>
    <t xml:space="preserve">               Miscellaneous Services</t>
  </si>
  <si>
    <t>6604</t>
  </si>
  <si>
    <t>See v3 note re Healthcare delivery oper. exp.; v4 will need to cut Admin oper exp.</t>
  </si>
  <si>
    <t>Tax collection expenses:</t>
  </si>
  <si>
    <t>Property appraisal</t>
  </si>
  <si>
    <t>Based on 8/4/2014 email from Anne Kennedy, Controller.</t>
  </si>
  <si>
    <t>9020</t>
  </si>
  <si>
    <t>520</t>
  </si>
  <si>
    <t>Property tax collection</t>
  </si>
  <si>
    <t>Tax collection expenses</t>
  </si>
  <si>
    <t>$921k FY14 budget vs $1.178M actuals.  FY15 -&gt; $855k TCAD + $500k Collector.</t>
  </si>
  <si>
    <t>TOTAL ADMINISTRATION</t>
  </si>
  <si>
    <t>TOTAL EXPENSE</t>
  </si>
  <si>
    <t>4
FY15 TCCC
8/26/14</t>
  </si>
  <si>
    <t>8/26 TCCC vs 9/17 BOM</t>
  </si>
  <si>
    <t>Healthcare delivery program, all other uses</t>
  </si>
  <si>
    <t>Subtotal: legal, consulting, etc.</t>
  </si>
  <si>
    <t>Legal, consulting &amp; investment services</t>
  </si>
  <si>
    <t>8/15
PRELIM vs 8/26 TCCC</t>
  </si>
  <si>
    <t>9/17 BOM
--SLIDES--
($ millions)</t>
  </si>
  <si>
    <t>8/26 TCCC
--SLIDES--
($ millions)</t>
  </si>
  <si>
    <t>FY 2015 
APPROVED
BUDGET</t>
  </si>
  <si>
    <t>Approved Fiscal Year 2015 Budget &amp; Amended Fiscal Year 2014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</si>
</sst>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(* #,##0.00000_);_(* \(#,##0.00000\);_(* &quot;-&quot;?????_);_(@_)"/>
    <numFmt numFmtId="166" formatCode="0.0_);\(0.0\)"/>
    <numFmt numFmtId="167" formatCode="_(* #,##0.0_);_(* \(#,##0.0\);_(* &quot;-&quot;?_);_(@_)"/>
  </numFmts>
  <fonts count="16" x14ac:knownFonts="1">
    <font>
      <sz val="11"/>
      <color theme="1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i/>
      <u/>
      <sz val="14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u/>
      <sz val="11"/>
      <color rgb="FFC00000"/>
      <name val="Calibri"/>
      <family val="2"/>
    </font>
    <font>
      <b/>
      <sz val="20"/>
      <color theme="0"/>
      <name val="Calibri"/>
      <family val="2"/>
    </font>
    <font>
      <b/>
      <sz val="14"/>
      <color theme="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u/>
      <sz val="18"/>
      <name val="Calibri"/>
      <family val="2"/>
    </font>
    <font>
      <b/>
      <u/>
      <sz val="14"/>
      <name val="Calibri"/>
      <family val="2"/>
    </font>
    <font>
      <i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1" fillId="0" borderId="0" xfId="0" quotePrefix="1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quotePrefix="1" applyNumberFormat="1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center" vertical="center"/>
    </xf>
    <xf numFmtId="0" fontId="4" fillId="0" borderId="0" xfId="0" quotePrefix="1" applyFont="1" applyFill="1" applyAlignment="1">
      <alignment horizontal="right" vertical="center"/>
    </xf>
    <xf numFmtId="0" fontId="5" fillId="0" borderId="0" xfId="0" quotePrefix="1" applyFont="1" applyFill="1" applyAlignment="1">
      <alignment horizontal="right" vertical="center"/>
    </xf>
    <xf numFmtId="0" fontId="4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41" fontId="1" fillId="0" borderId="0" xfId="0" applyNumberFormat="1" applyFont="1" applyAlignment="1"/>
    <xf numFmtId="41" fontId="1" fillId="0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41" fontId="5" fillId="0" borderId="2" xfId="0" quotePrefix="1" applyNumberFormat="1" applyFont="1" applyFill="1" applyBorder="1" applyAlignment="1">
      <alignment horizontal="center" wrapText="1"/>
    </xf>
    <xf numFmtId="0" fontId="7" fillId="0" borderId="1" xfId="0" quotePrefix="1" applyNumberFormat="1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right" vertical="center"/>
    </xf>
    <xf numFmtId="0" fontId="9" fillId="0" borderId="0" xfId="0" quotePrefix="1" applyFont="1" applyFill="1" applyAlignment="1">
      <alignment horizontal="right" vertical="center"/>
    </xf>
    <xf numFmtId="0" fontId="5" fillId="0" borderId="1" xfId="0" quotePrefix="1" applyFont="1" applyFill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1" fontId="1" fillId="0" borderId="1" xfId="0" quotePrefix="1" applyNumberFormat="1" applyFont="1" applyFill="1" applyBorder="1" applyAlignment="1">
      <alignment horizontal="center" wrapText="1"/>
    </xf>
    <xf numFmtId="41" fontId="1" fillId="2" borderId="1" xfId="0" quotePrefix="1" applyNumberFormat="1" applyFont="1" applyFill="1" applyBorder="1" applyAlignment="1">
      <alignment horizontal="center" wrapText="1"/>
    </xf>
    <xf numFmtId="41" fontId="5" fillId="0" borderId="1" xfId="0" quotePrefix="1" applyNumberFormat="1" applyFont="1" applyFill="1" applyBorder="1" applyAlignment="1">
      <alignment horizontal="center" wrapText="1"/>
    </xf>
    <xf numFmtId="0" fontId="5" fillId="0" borderId="1" xfId="0" quotePrefix="1" applyFont="1" applyFill="1" applyBorder="1" applyAlignment="1">
      <alignment horizontal="center" wrapText="1"/>
    </xf>
    <xf numFmtId="0" fontId="5" fillId="0" borderId="1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right" indent="1"/>
    </xf>
    <xf numFmtId="0" fontId="2" fillId="0" borderId="0" xfId="0" quotePrefix="1" applyFont="1" applyAlignment="1">
      <alignment horizontal="right" indent="1"/>
    </xf>
    <xf numFmtId="0" fontId="5" fillId="0" borderId="0" xfId="0" applyNumberFormat="1" applyFont="1" applyAlignment="1">
      <alignment horizontal="right" indent="1"/>
    </xf>
    <xf numFmtId="164" fontId="1" fillId="0" borderId="0" xfId="0" applyNumberFormat="1" applyFont="1" applyAlignment="1"/>
    <xf numFmtId="0" fontId="5" fillId="0" borderId="0" xfId="0" applyNumberFormat="1" applyFont="1" applyAlignment="1">
      <alignment horizontal="left" indent="5"/>
    </xf>
    <xf numFmtId="0" fontId="10" fillId="0" borderId="0" xfId="0" applyNumberFormat="1" applyFont="1" applyFill="1" applyAlignment="1">
      <alignment horizontal="right" indent="1"/>
    </xf>
    <xf numFmtId="0" fontId="10" fillId="0" borderId="0" xfId="0" applyNumberFormat="1" applyFont="1" applyAlignment="1">
      <alignment horizontal="right" indent="1"/>
    </xf>
    <xf numFmtId="164" fontId="11" fillId="0" borderId="0" xfId="0" applyNumberFormat="1" applyFont="1" applyAlignment="1"/>
    <xf numFmtId="0" fontId="1" fillId="0" borderId="0" xfId="0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1" fontId="1" fillId="0" borderId="0" xfId="0" applyNumberFormat="1" applyFont="1"/>
    <xf numFmtId="41" fontId="1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quotePrefix="1" applyFont="1" applyAlignment="1">
      <alignment horizontal="left"/>
    </xf>
    <xf numFmtId="41" fontId="1" fillId="0" borderId="0" xfId="0" applyNumberFormat="1" applyFont="1" applyBorder="1"/>
    <xf numFmtId="41" fontId="1" fillId="0" borderId="0" xfId="0" applyNumberFormat="1" applyFont="1" applyFill="1" applyBorder="1"/>
    <xf numFmtId="0" fontId="2" fillId="0" borderId="0" xfId="0" applyFont="1" applyAlignment="1">
      <alignment horizontal="left"/>
    </xf>
    <xf numFmtId="0" fontId="5" fillId="0" borderId="0" xfId="0" quotePrefix="1" applyFont="1" applyAlignment="1">
      <alignment horizontal="right" indent="1"/>
    </xf>
    <xf numFmtId="41" fontId="5" fillId="0" borderId="5" xfId="0" applyNumberFormat="1" applyFont="1" applyFill="1" applyBorder="1"/>
    <xf numFmtId="0" fontId="2" fillId="0" borderId="0" xfId="0" applyFont="1"/>
    <xf numFmtId="41" fontId="5" fillId="0" borderId="5" xfId="0" applyNumberFormat="1" applyFont="1" applyBorder="1"/>
    <xf numFmtId="0" fontId="2" fillId="0" borderId="0" xfId="0" quotePrefix="1" applyFont="1" applyBorder="1" applyAlignment="1">
      <alignment horizontal="left"/>
    </xf>
    <xf numFmtId="0" fontId="10" fillId="0" borderId="0" xfId="0" quotePrefix="1" applyFont="1" applyAlignment="1">
      <alignment horizontal="right" indent="1"/>
    </xf>
    <xf numFmtId="41" fontId="5" fillId="0" borderId="6" xfId="0" applyNumberFormat="1" applyFont="1" applyFill="1" applyBorder="1"/>
    <xf numFmtId="41" fontId="5" fillId="0" borderId="6" xfId="0" applyNumberFormat="1" applyFont="1" applyBorder="1"/>
    <xf numFmtId="41" fontId="5" fillId="0" borderId="0" xfId="0" applyNumberFormat="1" applyFont="1" applyFill="1"/>
    <xf numFmtId="41" fontId="5" fillId="0" borderId="0" xfId="0" applyNumberFormat="1" applyFont="1"/>
    <xf numFmtId="0" fontId="11" fillId="0" borderId="0" xfId="0" applyFont="1"/>
    <xf numFmtId="41" fontId="1" fillId="3" borderId="0" xfId="0" applyNumberFormat="1" applyFont="1" applyFill="1"/>
    <xf numFmtId="41" fontId="5" fillId="0" borderId="7" xfId="0" applyNumberFormat="1" applyFont="1" applyFill="1" applyBorder="1"/>
    <xf numFmtId="0" fontId="1" fillId="0" borderId="0" xfId="0" quotePrefix="1" applyFont="1" applyFill="1" applyAlignment="1">
      <alignment horizontal="right" indent="1"/>
    </xf>
    <xf numFmtId="0" fontId="2" fillId="0" borderId="0" xfId="0" quotePrefix="1" applyFont="1" applyFill="1" applyAlignment="1">
      <alignment horizontal="right" indent="1"/>
    </xf>
    <xf numFmtId="41" fontId="5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Alignment="1"/>
    <xf numFmtId="0" fontId="5" fillId="0" borderId="0" xfId="0" applyFont="1" applyAlignment="1"/>
    <xf numFmtId="41" fontId="5" fillId="0" borderId="0" xfId="0" applyNumberFormat="1" applyFont="1" applyBorder="1"/>
    <xf numFmtId="0" fontId="12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0" fontId="10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5" fillId="0" borderId="0" xfId="0" applyFont="1"/>
    <xf numFmtId="41" fontId="1" fillId="0" borderId="5" xfId="0" applyNumberFormat="1" applyFont="1" applyFill="1" applyBorder="1"/>
    <xf numFmtId="0" fontId="1" fillId="0" borderId="0" xfId="0" quotePrefix="1" applyFont="1" applyBorder="1" applyAlignment="1">
      <alignment horizontal="center"/>
    </xf>
    <xf numFmtId="41" fontId="1" fillId="0" borderId="0" xfId="0" quotePrefix="1" applyNumberFormat="1" applyFont="1" applyBorder="1" applyAlignment="1">
      <alignment horizontal="center"/>
    </xf>
    <xf numFmtId="0" fontId="5" fillId="0" borderId="0" xfId="0" quotePrefix="1" applyFont="1" applyAlignment="1">
      <alignment horizontal="left" indent="1"/>
    </xf>
    <xf numFmtId="41" fontId="1" fillId="0" borderId="2" xfId="0" applyNumberFormat="1" applyFont="1" applyFill="1" applyBorder="1"/>
    <xf numFmtId="41" fontId="1" fillId="3" borderId="2" xfId="0" applyNumberFormat="1" applyFont="1" applyFill="1" applyBorder="1"/>
    <xf numFmtId="41" fontId="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right" indent="1"/>
    </xf>
    <xf numFmtId="0" fontId="10" fillId="0" borderId="0" xfId="0" applyFont="1"/>
    <xf numFmtId="0" fontId="1" fillId="0" borderId="0" xfId="0" applyFont="1" applyBorder="1"/>
    <xf numFmtId="0" fontId="15" fillId="0" borderId="0" xfId="0" quotePrefix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5" fillId="0" borderId="0" xfId="0" applyFont="1" applyBorder="1"/>
    <xf numFmtId="0" fontId="11" fillId="0" borderId="0" xfId="0" applyFont="1" applyBorder="1"/>
    <xf numFmtId="0" fontId="5" fillId="0" borderId="0" xfId="0" quotePrefix="1" applyFont="1" applyBorder="1" applyAlignment="1">
      <alignment horizontal="left"/>
    </xf>
    <xf numFmtId="0" fontId="11" fillId="0" borderId="0" xfId="0" quotePrefix="1" applyFont="1" applyBorder="1" applyAlignment="1">
      <alignment horizontal="left"/>
    </xf>
    <xf numFmtId="0" fontId="10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1" fillId="0" borderId="0" xfId="0" applyFont="1" applyFill="1"/>
    <xf numFmtId="0" fontId="1" fillId="0" borderId="0" xfId="0" quotePrefix="1" applyFont="1" applyBorder="1" applyAlignment="1">
      <alignment horizontal="left"/>
    </xf>
    <xf numFmtId="41" fontId="5" fillId="0" borderId="3" xfId="0" applyNumberFormat="1" applyFont="1" applyFill="1" applyBorder="1"/>
    <xf numFmtId="41" fontId="5" fillId="0" borderId="8" xfId="0" applyNumberFormat="1" applyFont="1" applyFill="1" applyBorder="1"/>
    <xf numFmtId="41" fontId="5" fillId="4" borderId="1" xfId="0" quotePrefix="1" applyNumberFormat="1" applyFont="1" applyFill="1" applyBorder="1" applyAlignment="1">
      <alignment horizontal="center" wrapText="1"/>
    </xf>
    <xf numFmtId="0" fontId="10" fillId="4" borderId="0" xfId="0" applyNumberFormat="1" applyFont="1" applyFill="1" applyAlignment="1">
      <alignment horizontal="right" indent="1"/>
    </xf>
    <xf numFmtId="41" fontId="1" fillId="0" borderId="3" xfId="0" applyNumberFormat="1" applyFont="1" applyFill="1" applyBorder="1"/>
    <xf numFmtId="0" fontId="1" fillId="0" borderId="3" xfId="0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166" fontId="10" fillId="4" borderId="0" xfId="0" applyNumberFormat="1" applyFont="1" applyFill="1" applyAlignment="1">
      <alignment horizontal="right" indent="1"/>
    </xf>
    <xf numFmtId="166" fontId="10" fillId="4" borderId="5" xfId="0" applyNumberFormat="1" applyFont="1" applyFill="1" applyBorder="1" applyAlignment="1">
      <alignment horizontal="right" indent="1"/>
    </xf>
    <xf numFmtId="166" fontId="10" fillId="4" borderId="6" xfId="0" applyNumberFormat="1" applyFont="1" applyFill="1" applyBorder="1" applyAlignment="1">
      <alignment horizontal="right" indent="1"/>
    </xf>
    <xf numFmtId="166" fontId="10" fillId="4" borderId="7" xfId="0" applyNumberFormat="1" applyFont="1" applyFill="1" applyBorder="1" applyAlignment="1">
      <alignment horizontal="right" indent="1"/>
    </xf>
    <xf numFmtId="41" fontId="1" fillId="4" borderId="0" xfId="0" applyNumberFormat="1" applyFont="1" applyFill="1" applyAlignment="1">
      <alignment horizontal="right" indent="1"/>
    </xf>
    <xf numFmtId="166" fontId="10" fillId="4" borderId="0" xfId="0" applyNumberFormat="1" applyFont="1" applyFill="1" applyBorder="1" applyAlignment="1">
      <alignment horizontal="right" indent="1"/>
    </xf>
    <xf numFmtId="166" fontId="10" fillId="4" borderId="2" xfId="0" applyNumberFormat="1" applyFont="1" applyFill="1" applyBorder="1" applyAlignment="1">
      <alignment horizontal="right" indent="1"/>
    </xf>
    <xf numFmtId="166" fontId="10" fillId="4" borderId="3" xfId="0" applyNumberFormat="1" applyFont="1" applyFill="1" applyBorder="1" applyAlignment="1">
      <alignment horizontal="right" indent="1"/>
    </xf>
    <xf numFmtId="166" fontId="10" fillId="4" borderId="8" xfId="0" applyNumberFormat="1" applyFont="1" applyFill="1" applyBorder="1" applyAlignment="1">
      <alignment horizontal="right" indent="1"/>
    </xf>
    <xf numFmtId="167" fontId="1" fillId="0" borderId="0" xfId="0" applyNumberFormat="1" applyFont="1" applyFill="1"/>
    <xf numFmtId="41" fontId="5" fillId="5" borderId="1" xfId="0" quotePrefix="1" applyNumberFormat="1" applyFont="1" applyFill="1" applyBorder="1" applyAlignment="1">
      <alignment horizontal="center" wrapText="1"/>
    </xf>
    <xf numFmtId="0" fontId="10" fillId="5" borderId="0" xfId="0" applyNumberFormat="1" applyFont="1" applyFill="1" applyAlignment="1">
      <alignment horizontal="right" indent="1"/>
    </xf>
    <xf numFmtId="41" fontId="1" fillId="5" borderId="0" xfId="0" applyNumberFormat="1" applyFont="1" applyFill="1" applyAlignment="1">
      <alignment horizontal="right" indent="1"/>
    </xf>
    <xf numFmtId="166" fontId="10" fillId="5" borderId="0" xfId="0" applyNumberFormat="1" applyFont="1" applyFill="1" applyAlignment="1">
      <alignment horizontal="right" indent="1"/>
    </xf>
    <xf numFmtId="166" fontId="10" fillId="5" borderId="0" xfId="0" applyNumberFormat="1" applyFont="1" applyFill="1" applyBorder="1" applyAlignment="1">
      <alignment horizontal="right" indent="1"/>
    </xf>
    <xf numFmtId="166" fontId="10" fillId="5" borderId="5" xfId="0" applyNumberFormat="1" applyFont="1" applyFill="1" applyBorder="1" applyAlignment="1">
      <alignment horizontal="right" indent="1"/>
    </xf>
    <xf numFmtId="166" fontId="10" fillId="5" borderId="6" xfId="0" applyNumberFormat="1" applyFont="1" applyFill="1" applyBorder="1" applyAlignment="1">
      <alignment horizontal="right" indent="1"/>
    </xf>
    <xf numFmtId="166" fontId="10" fillId="5" borderId="7" xfId="0" applyNumberFormat="1" applyFont="1" applyFill="1" applyBorder="1" applyAlignment="1">
      <alignment horizontal="right" indent="1"/>
    </xf>
    <xf numFmtId="166" fontId="10" fillId="5" borderId="2" xfId="0" applyNumberFormat="1" applyFont="1" applyFill="1" applyBorder="1" applyAlignment="1">
      <alignment horizontal="right" indent="1"/>
    </xf>
    <xf numFmtId="166" fontId="10" fillId="5" borderId="3" xfId="0" applyNumberFormat="1" applyFont="1" applyFill="1" applyBorder="1" applyAlignment="1">
      <alignment horizontal="right" indent="1"/>
    </xf>
    <xf numFmtId="166" fontId="10" fillId="5" borderId="8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</xdr:colOff>
      <xdr:row>0</xdr:row>
      <xdr:rowOff>60960</xdr:rowOff>
    </xdr:from>
    <xdr:to>
      <xdr:col>4</xdr:col>
      <xdr:colOff>2496820</xdr:colOff>
      <xdr:row>0</xdr:row>
      <xdr:rowOff>647733</xdr:rowOff>
    </xdr:to>
    <xdr:pic>
      <xdr:nvPicPr>
        <xdr:cNvPr id="2" name="Picture 1" descr="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19" y="60960"/>
          <a:ext cx="3009901" cy="586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showGridLines="0" tabSelected="1" zoomScale="75" zoomScaleNormal="75" workbookViewId="0">
      <pane ySplit="8" topLeftCell="A195" activePane="bottomLeft" state="frozen"/>
      <selection pane="bottomLeft" activeCell="Y14" sqref="Y14"/>
    </sheetView>
  </sheetViews>
  <sheetFormatPr defaultColWidth="8.85546875" defaultRowHeight="18.75" x14ac:dyDescent="0.3"/>
  <cols>
    <col min="1" max="1" width="1.85546875" style="14" customWidth="1"/>
    <col min="2" max="3" width="2.28515625" style="14" customWidth="1"/>
    <col min="4" max="4" width="3.28515625" style="14" customWidth="1"/>
    <col min="5" max="5" width="50.140625" style="14" customWidth="1"/>
    <col min="6" max="6" width="78.85546875" style="54" hidden="1" customWidth="1"/>
    <col min="7" max="7" width="16.7109375" style="45" hidden="1" customWidth="1"/>
    <col min="8" max="8" width="14.85546875" style="45" hidden="1" customWidth="1"/>
    <col min="9" max="9" width="16.7109375" style="45" hidden="1" customWidth="1"/>
    <col min="10" max="10" width="14.85546875" style="45" hidden="1" customWidth="1"/>
    <col min="11" max="11" width="16.7109375" style="45" hidden="1" customWidth="1"/>
    <col min="12" max="12" width="17" style="45" hidden="1" customWidth="1"/>
    <col min="13" max="13" width="19.7109375" style="46" hidden="1" customWidth="1"/>
    <col min="14" max="14" width="16.140625" style="46" hidden="1" customWidth="1"/>
    <col min="15" max="15" width="17" style="45" hidden="1" customWidth="1"/>
    <col min="16" max="16" width="23.7109375" style="46" customWidth="1"/>
    <col min="17" max="17" width="16.140625" style="46" hidden="1" customWidth="1"/>
    <col min="18" max="19" width="16.85546875" style="45" hidden="1" customWidth="1"/>
    <col min="20" max="20" width="23.7109375" style="46" customWidth="1"/>
    <col min="21" max="21" width="10.140625" style="13" customWidth="1"/>
    <col min="22" max="22" width="7.28515625" style="13" hidden="1" customWidth="1"/>
    <col min="23" max="23" width="16" style="89" hidden="1" customWidth="1"/>
    <col min="24" max="24" width="1.42578125" style="14" customWidth="1"/>
    <col min="25" max="25" width="17" style="14" customWidth="1"/>
    <col min="26" max="16384" width="8.85546875" style="14"/>
  </cols>
  <sheetData>
    <row r="1" spans="1:23" s="1" customFormat="1" ht="57.6" customHeight="1" x14ac:dyDescent="0.25">
      <c r="E1" s="2"/>
      <c r="F1" s="3"/>
      <c r="G1" s="4"/>
      <c r="H1" s="4"/>
      <c r="I1" s="4"/>
      <c r="J1" s="4"/>
      <c r="K1" s="4"/>
      <c r="L1" s="4"/>
      <c r="M1" s="5"/>
      <c r="N1" s="5"/>
      <c r="O1" s="4"/>
      <c r="P1" s="5"/>
      <c r="Q1" s="5"/>
      <c r="R1" s="4"/>
      <c r="S1" s="4"/>
      <c r="T1" s="6" t="s">
        <v>0</v>
      </c>
      <c r="U1" s="7"/>
      <c r="W1" s="7"/>
    </row>
    <row r="2" spans="1:23" ht="26.25" x14ac:dyDescent="0.4">
      <c r="A2" s="70"/>
      <c r="B2" s="8" t="s">
        <v>284</v>
      </c>
      <c r="C2" s="8"/>
      <c r="D2" s="9"/>
      <c r="E2" s="9"/>
      <c r="F2" s="10"/>
      <c r="G2" s="11"/>
      <c r="H2" s="11"/>
      <c r="I2" s="11"/>
      <c r="J2" s="11"/>
      <c r="K2" s="11"/>
      <c r="L2" s="11"/>
      <c r="M2" s="12"/>
      <c r="N2" s="12"/>
      <c r="O2" s="11"/>
      <c r="P2" s="12"/>
      <c r="Q2" s="12"/>
      <c r="R2" s="11"/>
      <c r="S2" s="11"/>
      <c r="T2" s="4"/>
      <c r="W2" s="4"/>
    </row>
    <row r="3" spans="1:23" ht="26.25" x14ac:dyDescent="0.4">
      <c r="A3" s="70"/>
      <c r="B3" s="8" t="s">
        <v>2</v>
      </c>
      <c r="C3" s="8"/>
      <c r="D3" s="9"/>
      <c r="E3" s="9"/>
      <c r="F3" s="10"/>
      <c r="G3" s="11"/>
      <c r="H3" s="11"/>
      <c r="I3" s="11"/>
      <c r="J3" s="11"/>
      <c r="K3" s="11"/>
      <c r="L3" s="11"/>
      <c r="M3" s="12"/>
      <c r="N3" s="12"/>
      <c r="O3" s="11"/>
      <c r="P3" s="12"/>
      <c r="Q3" s="12"/>
      <c r="R3" s="11"/>
      <c r="S3" s="11"/>
      <c r="T3" s="4"/>
      <c r="W3" s="4"/>
    </row>
    <row r="4" spans="1:23" ht="26.25" hidden="1" x14ac:dyDescent="0.4">
      <c r="A4" s="70"/>
      <c r="B4" s="8" t="s">
        <v>1</v>
      </c>
      <c r="C4" s="8"/>
      <c r="D4" s="9"/>
      <c r="E4" s="9"/>
      <c r="F4" s="10"/>
      <c r="G4" s="11"/>
      <c r="H4" s="11"/>
      <c r="I4" s="11"/>
      <c r="J4" s="11"/>
      <c r="K4" s="11"/>
      <c r="L4" s="11"/>
      <c r="M4" s="12"/>
      <c r="N4" s="12"/>
      <c r="O4" s="11"/>
      <c r="P4" s="12"/>
      <c r="Q4" s="12"/>
      <c r="R4" s="11"/>
      <c r="S4" s="11"/>
      <c r="T4" s="4"/>
      <c r="W4" s="4"/>
    </row>
    <row r="5" spans="1:23" ht="64.900000000000006" hidden="1" customHeight="1" x14ac:dyDescent="0.4">
      <c r="A5" s="70"/>
      <c r="B5" s="8"/>
      <c r="C5" s="8"/>
      <c r="D5" s="9"/>
      <c r="E5" s="9"/>
      <c r="F5" s="10"/>
      <c r="G5" s="11"/>
      <c r="H5" s="11"/>
      <c r="I5" s="11"/>
      <c r="J5" s="11"/>
      <c r="K5" s="11"/>
      <c r="L5" s="11"/>
      <c r="M5" s="12"/>
      <c r="N5" s="15" t="s">
        <v>2</v>
      </c>
      <c r="O5" s="11"/>
      <c r="P5" s="12"/>
      <c r="Q5" s="15" t="s">
        <v>2</v>
      </c>
      <c r="R5" s="11"/>
      <c r="S5" s="11"/>
      <c r="T5" s="4"/>
      <c r="W5" s="4"/>
    </row>
    <row r="6" spans="1:23" ht="26.25" x14ac:dyDescent="0.4">
      <c r="A6" s="70"/>
      <c r="B6" s="8" t="s">
        <v>3</v>
      </c>
      <c r="C6" s="8"/>
      <c r="D6" s="9"/>
      <c r="E6" s="9"/>
      <c r="F6" s="16" t="s">
        <v>4</v>
      </c>
      <c r="G6" s="11"/>
      <c r="H6" s="11"/>
      <c r="I6" s="11"/>
      <c r="J6" s="11"/>
      <c r="K6" s="11"/>
      <c r="L6" s="11"/>
      <c r="M6" s="12"/>
      <c r="N6" s="12"/>
      <c r="O6" s="11"/>
      <c r="P6" s="12"/>
      <c r="Q6" s="12"/>
      <c r="R6" s="11"/>
      <c r="S6" s="11"/>
      <c r="T6" s="17" t="s">
        <v>0</v>
      </c>
      <c r="W6" s="18" t="s">
        <v>0</v>
      </c>
    </row>
    <row r="7" spans="1:23" ht="26.25" hidden="1" x14ac:dyDescent="0.4">
      <c r="A7" s="70"/>
      <c r="B7" s="8" t="s">
        <v>5</v>
      </c>
      <c r="C7" s="8"/>
      <c r="D7" s="9"/>
      <c r="E7" s="9"/>
      <c r="F7" s="16" t="s">
        <v>6</v>
      </c>
      <c r="G7" s="11"/>
      <c r="H7" s="11"/>
      <c r="I7" s="11"/>
      <c r="J7" s="11"/>
      <c r="K7" s="11"/>
      <c r="L7" s="11"/>
      <c r="M7" s="12"/>
      <c r="N7" s="12"/>
      <c r="O7" s="11"/>
      <c r="P7" s="12"/>
      <c r="Q7" s="12"/>
      <c r="R7" s="11"/>
      <c r="S7" s="11"/>
      <c r="T7" s="17" t="s">
        <v>7</v>
      </c>
      <c r="W7" s="18" t="s">
        <v>7</v>
      </c>
    </row>
    <row r="8" spans="1:23" s="28" customFormat="1" ht="56.25" x14ac:dyDescent="0.3">
      <c r="B8" s="19" t="s">
        <v>8</v>
      </c>
      <c r="C8" s="20"/>
      <c r="D8" s="20"/>
      <c r="E8" s="21"/>
      <c r="F8" s="22" t="s">
        <v>9</v>
      </c>
      <c r="G8" s="23" t="s">
        <v>10</v>
      </c>
      <c r="H8" s="24" t="s">
        <v>11</v>
      </c>
      <c r="I8" s="23" t="s">
        <v>12</v>
      </c>
      <c r="J8" s="24" t="s">
        <v>13</v>
      </c>
      <c r="K8" s="23" t="s">
        <v>14</v>
      </c>
      <c r="L8" s="24" t="s">
        <v>280</v>
      </c>
      <c r="M8" s="23" t="s">
        <v>275</v>
      </c>
      <c r="N8" s="106" t="s">
        <v>282</v>
      </c>
      <c r="O8" s="24" t="s">
        <v>276</v>
      </c>
      <c r="P8" s="25" t="s">
        <v>283</v>
      </c>
      <c r="Q8" s="121" t="s">
        <v>281</v>
      </c>
      <c r="R8" s="25" t="s">
        <v>15</v>
      </c>
      <c r="S8" s="25" t="s">
        <v>16</v>
      </c>
      <c r="T8" s="25" t="s">
        <v>17</v>
      </c>
      <c r="U8" s="26" t="s">
        <v>18</v>
      </c>
      <c r="V8" s="27" t="s">
        <v>19</v>
      </c>
      <c r="W8" s="25" t="s">
        <v>20</v>
      </c>
    </row>
    <row r="9" spans="1:23" ht="39.6" customHeight="1" x14ac:dyDescent="0.35">
      <c r="B9" s="29" t="s">
        <v>21</v>
      </c>
      <c r="C9" s="30"/>
      <c r="D9" s="30"/>
      <c r="E9" s="31"/>
      <c r="F9" s="32"/>
      <c r="G9" s="33">
        <v>0.129</v>
      </c>
      <c r="H9" s="34">
        <v>0</v>
      </c>
      <c r="I9" s="33">
        <f>SUM(G9:H9)</f>
        <v>0.129</v>
      </c>
      <c r="J9" s="33">
        <f>0.1272-I9</f>
        <v>-1.799999999999996E-3</v>
      </c>
      <c r="K9" s="33">
        <f>SUM(I9:J9)</f>
        <v>0.12720000000000001</v>
      </c>
      <c r="L9" s="35">
        <f>0.1264-K9</f>
        <v>-7.9999999999999516E-4</v>
      </c>
      <c r="M9" s="36">
        <f>SUM(K9:L9)</f>
        <v>0.12640000000000001</v>
      </c>
      <c r="N9" s="107"/>
      <c r="O9" s="35">
        <v>0</v>
      </c>
      <c r="P9" s="36">
        <f>+M9+O9</f>
        <v>0.12640000000000001</v>
      </c>
      <c r="Q9" s="122">
        <v>0.12640000000000001</v>
      </c>
      <c r="R9" s="37">
        <v>0.129</v>
      </c>
      <c r="S9" s="38">
        <v>0</v>
      </c>
      <c r="T9" s="36">
        <f>SUM(R9:S9)</f>
        <v>0.129</v>
      </c>
      <c r="U9" s="39"/>
      <c r="V9" s="39"/>
      <c r="W9" s="40"/>
    </row>
    <row r="10" spans="1:23" ht="49.15" customHeight="1" x14ac:dyDescent="0.35">
      <c r="B10" s="41" t="s">
        <v>22</v>
      </c>
      <c r="C10" s="42"/>
      <c r="D10" s="42"/>
      <c r="E10" s="43"/>
      <c r="F10" s="44"/>
      <c r="N10" s="115"/>
      <c r="Q10" s="123"/>
      <c r="U10" s="39"/>
      <c r="V10" s="39"/>
      <c r="W10" s="40"/>
    </row>
    <row r="11" spans="1:23" ht="25.15" customHeight="1" x14ac:dyDescent="0.3">
      <c r="B11" s="42" t="s">
        <v>23</v>
      </c>
      <c r="C11" s="42"/>
      <c r="D11" s="42"/>
      <c r="E11" s="43"/>
      <c r="F11" s="44"/>
      <c r="N11" s="115"/>
      <c r="Q11" s="123"/>
      <c r="U11" s="39"/>
      <c r="V11" s="39"/>
      <c r="W11" s="40"/>
    </row>
    <row r="12" spans="1:23" ht="25.15" customHeight="1" x14ac:dyDescent="0.35">
      <c r="C12" s="14" t="s">
        <v>24</v>
      </c>
      <c r="F12" s="47" t="s">
        <v>25</v>
      </c>
      <c r="G12" s="45">
        <v>148500000</v>
      </c>
      <c r="H12" s="45">
        <v>0</v>
      </c>
      <c r="I12" s="45">
        <f>SUM(G12:H12)</f>
        <v>148500000</v>
      </c>
      <c r="J12" s="45">
        <v>4200000</v>
      </c>
      <c r="K12" s="45">
        <f>SUM(I12:J12)</f>
        <v>152700000</v>
      </c>
      <c r="L12" s="45">
        <f>151728532-K12</f>
        <v>-971468</v>
      </c>
      <c r="M12" s="46">
        <f>SUM(K12:L12)</f>
        <v>151728532</v>
      </c>
      <c r="N12" s="111">
        <v>151.69999999999999</v>
      </c>
      <c r="O12" s="45">
        <v>0</v>
      </c>
      <c r="P12" s="46">
        <f t="shared" ref="P12:P17" si="0">+M12+O12</f>
        <v>151728532</v>
      </c>
      <c r="Q12" s="124">
        <v>151.69999999999999</v>
      </c>
      <c r="R12" s="45">
        <v>139000000</v>
      </c>
      <c r="S12" s="45">
        <v>0</v>
      </c>
      <c r="T12" s="46">
        <f>SUM(R12:S12)</f>
        <v>139000000</v>
      </c>
      <c r="U12" s="39"/>
      <c r="V12" s="39"/>
      <c r="W12" s="40"/>
    </row>
    <row r="13" spans="1:23" ht="25.15" customHeight="1" x14ac:dyDescent="0.35">
      <c r="B13" s="30"/>
      <c r="C13" s="30" t="s">
        <v>26</v>
      </c>
      <c r="D13" s="30"/>
      <c r="F13" s="48" t="s">
        <v>27</v>
      </c>
      <c r="G13" s="45">
        <f>1800000+29900000</f>
        <v>31700000</v>
      </c>
      <c r="H13" s="45">
        <v>0</v>
      </c>
      <c r="I13" s="45">
        <f t="shared" ref="I13:I21" si="1">SUM(G13:H13)</f>
        <v>31700000</v>
      </c>
      <c r="J13" s="45">
        <f>31637380-31700000</f>
        <v>-62620</v>
      </c>
      <c r="K13" s="45">
        <f t="shared" ref="K13" si="2">SUM(I13:J13)</f>
        <v>31637380</v>
      </c>
      <c r="L13" s="45">
        <v>0</v>
      </c>
      <c r="M13" s="46">
        <f>SUM(K13:L13)</f>
        <v>31637380</v>
      </c>
      <c r="N13" s="111">
        <v>31.6</v>
      </c>
      <c r="O13" s="45">
        <v>0</v>
      </c>
      <c r="P13" s="46">
        <f t="shared" si="0"/>
        <v>31637380</v>
      </c>
      <c r="Q13" s="124">
        <v>31.6</v>
      </c>
      <c r="R13" s="45">
        <v>32321472</v>
      </c>
      <c r="S13" s="45">
        <v>0</v>
      </c>
      <c r="T13" s="46">
        <f t="shared" ref="T13:T21" si="3">SUM(R13:S13)</f>
        <v>32321472</v>
      </c>
      <c r="U13" s="39"/>
      <c r="V13" s="39"/>
      <c r="W13" s="40"/>
    </row>
    <row r="14" spans="1:23" ht="25.15" customHeight="1" x14ac:dyDescent="0.35">
      <c r="B14" s="30"/>
      <c r="C14" s="30" t="s">
        <v>28</v>
      </c>
      <c r="D14" s="30"/>
      <c r="F14" s="48"/>
      <c r="N14" s="111"/>
      <c r="Q14" s="124"/>
      <c r="U14" s="39"/>
      <c r="V14" s="39"/>
      <c r="W14" s="40"/>
    </row>
    <row r="15" spans="1:23" ht="25.15" customHeight="1" x14ac:dyDescent="0.35">
      <c r="D15" s="14" t="s">
        <v>29</v>
      </c>
      <c r="F15" s="48" t="s">
        <v>30</v>
      </c>
      <c r="G15" s="49">
        <v>1500000</v>
      </c>
      <c r="H15" s="49">
        <v>0</v>
      </c>
      <c r="I15" s="49">
        <f>SUM(G15:H15)</f>
        <v>1500000</v>
      </c>
      <c r="J15" s="49">
        <v>0</v>
      </c>
      <c r="K15" s="49">
        <f>SUM(I15:J15)</f>
        <v>1500000</v>
      </c>
      <c r="L15" s="49">
        <v>0</v>
      </c>
      <c r="M15" s="50">
        <f>SUM(K15:L15)</f>
        <v>1500000</v>
      </c>
      <c r="N15" s="116"/>
      <c r="O15" s="49">
        <v>0</v>
      </c>
      <c r="P15" s="50">
        <f t="shared" si="0"/>
        <v>1500000</v>
      </c>
      <c r="Q15" s="125"/>
      <c r="R15" s="49">
        <v>1200000</v>
      </c>
      <c r="S15" s="49">
        <v>0</v>
      </c>
      <c r="T15" s="50">
        <f>SUM(R15:S15)</f>
        <v>1200000</v>
      </c>
      <c r="U15" s="39"/>
      <c r="V15" s="39"/>
      <c r="W15" s="40"/>
    </row>
    <row r="16" spans="1:23" ht="25.15" customHeight="1" x14ac:dyDescent="0.35">
      <c r="D16" s="14" t="s">
        <v>31</v>
      </c>
      <c r="F16" s="47" t="s">
        <v>32</v>
      </c>
      <c r="G16" s="49">
        <v>400000</v>
      </c>
      <c r="H16" s="49">
        <v>0</v>
      </c>
      <c r="I16" s="49">
        <f t="shared" si="1"/>
        <v>400000</v>
      </c>
      <c r="J16" s="49">
        <v>0</v>
      </c>
      <c r="K16" s="49">
        <f t="shared" ref="K16" si="4">SUM(I16:J16)</f>
        <v>400000</v>
      </c>
      <c r="L16" s="49">
        <v>0</v>
      </c>
      <c r="M16" s="50">
        <f>SUM(K16:L16)</f>
        <v>400000</v>
      </c>
      <c r="N16" s="116"/>
      <c r="O16" s="49">
        <v>0</v>
      </c>
      <c r="P16" s="50">
        <f t="shared" si="0"/>
        <v>400000</v>
      </c>
      <c r="Q16" s="125"/>
      <c r="R16" s="49">
        <v>400000</v>
      </c>
      <c r="S16" s="49">
        <v>0</v>
      </c>
      <c r="T16" s="50">
        <f t="shared" si="3"/>
        <v>400000</v>
      </c>
      <c r="U16" s="39"/>
      <c r="V16" s="39"/>
      <c r="W16" s="40"/>
    </row>
    <row r="17" spans="2:23" ht="25.15" customHeight="1" x14ac:dyDescent="0.35">
      <c r="C17" s="14" t="s">
        <v>33</v>
      </c>
      <c r="F17" s="51" t="s">
        <v>34</v>
      </c>
      <c r="G17" s="45">
        <f>SUM(G15:G16)</f>
        <v>1900000</v>
      </c>
      <c r="H17" s="45">
        <f t="shared" ref="H17:T17" si="5">SUM(H15:H16)</f>
        <v>0</v>
      </c>
      <c r="I17" s="45">
        <f t="shared" si="5"/>
        <v>1900000</v>
      </c>
      <c r="J17" s="45">
        <f t="shared" si="5"/>
        <v>0</v>
      </c>
      <c r="K17" s="45">
        <f t="shared" si="5"/>
        <v>1900000</v>
      </c>
      <c r="L17" s="45">
        <f t="shared" si="5"/>
        <v>0</v>
      </c>
      <c r="M17" s="45">
        <f t="shared" si="5"/>
        <v>1900000</v>
      </c>
      <c r="N17" s="111">
        <v>1.9</v>
      </c>
      <c r="O17" s="45">
        <f t="shared" ref="O17" si="6">SUM(O15:O16)</f>
        <v>0</v>
      </c>
      <c r="P17" s="45">
        <f t="shared" si="0"/>
        <v>1900000</v>
      </c>
      <c r="Q17" s="124">
        <v>1.9</v>
      </c>
      <c r="R17" s="45">
        <f t="shared" si="5"/>
        <v>1600000</v>
      </c>
      <c r="S17" s="45">
        <f t="shared" si="5"/>
        <v>0</v>
      </c>
      <c r="T17" s="45">
        <f t="shared" si="5"/>
        <v>1600000</v>
      </c>
      <c r="U17" s="39"/>
      <c r="V17" s="39"/>
      <c r="W17" s="40"/>
    </row>
    <row r="18" spans="2:23" ht="25.15" customHeight="1" x14ac:dyDescent="0.35">
      <c r="E18" s="52" t="s">
        <v>35</v>
      </c>
      <c r="F18" s="32"/>
      <c r="G18" s="53">
        <f>+G12+G13+G17</f>
        <v>182100000</v>
      </c>
      <c r="H18" s="53">
        <f t="shared" ref="H18:T18" si="7">+H12+H13+H17</f>
        <v>0</v>
      </c>
      <c r="I18" s="53">
        <f t="shared" si="7"/>
        <v>182100000</v>
      </c>
      <c r="J18" s="53">
        <f t="shared" si="7"/>
        <v>4137380</v>
      </c>
      <c r="K18" s="53">
        <f t="shared" si="7"/>
        <v>186237380</v>
      </c>
      <c r="L18" s="53">
        <f t="shared" si="7"/>
        <v>-971468</v>
      </c>
      <c r="M18" s="53">
        <f t="shared" si="7"/>
        <v>185265912</v>
      </c>
      <c r="N18" s="112">
        <f t="shared" ref="N18" si="8">+N12+N13+N17</f>
        <v>185.2</v>
      </c>
      <c r="O18" s="53">
        <f t="shared" ref="O18:Q18" si="9">+O12+O13+O17</f>
        <v>0</v>
      </c>
      <c r="P18" s="53">
        <f t="shared" si="9"/>
        <v>185265912</v>
      </c>
      <c r="Q18" s="126">
        <f t="shared" si="9"/>
        <v>185.2</v>
      </c>
      <c r="R18" s="53">
        <f t="shared" si="7"/>
        <v>172921472</v>
      </c>
      <c r="S18" s="53">
        <f t="shared" si="7"/>
        <v>0</v>
      </c>
      <c r="T18" s="53">
        <f t="shared" si="7"/>
        <v>172921472</v>
      </c>
      <c r="U18" s="39"/>
      <c r="V18" s="39"/>
      <c r="W18" s="40"/>
    </row>
    <row r="19" spans="2:23" ht="25.15" customHeight="1" x14ac:dyDescent="0.35">
      <c r="B19" s="9" t="s">
        <v>36</v>
      </c>
      <c r="E19" s="31"/>
      <c r="F19" s="32"/>
      <c r="N19" s="111"/>
      <c r="Q19" s="124"/>
      <c r="U19" s="39"/>
      <c r="V19" s="39"/>
      <c r="W19" s="40"/>
    </row>
    <row r="20" spans="2:23" ht="25.15" customHeight="1" x14ac:dyDescent="0.35">
      <c r="C20" s="14" t="s">
        <v>37</v>
      </c>
      <c r="F20" s="48" t="s">
        <v>38</v>
      </c>
      <c r="G20" s="46">
        <v>8800000</v>
      </c>
      <c r="H20" s="46">
        <f>-4000000</f>
        <v>-4000000</v>
      </c>
      <c r="I20" s="46">
        <f t="shared" si="1"/>
        <v>4800000</v>
      </c>
      <c r="J20" s="46">
        <v>83000</v>
      </c>
      <c r="K20" s="46">
        <f t="shared" ref="K20:K21" si="10">SUM(I20:J20)</f>
        <v>4883000</v>
      </c>
      <c r="L20" s="46">
        <v>0</v>
      </c>
      <c r="M20" s="46">
        <f>SUM(K20:L20)</f>
        <v>4883000</v>
      </c>
      <c r="N20" s="111">
        <v>4.8</v>
      </c>
      <c r="O20" s="46">
        <v>0</v>
      </c>
      <c r="P20" s="46">
        <f t="shared" ref="P20:P21" si="11">+M20+O20</f>
        <v>4883000</v>
      </c>
      <c r="Q20" s="124">
        <v>4.8</v>
      </c>
      <c r="R20" s="45">
        <v>2200000</v>
      </c>
      <c r="S20" s="45">
        <v>8000000</v>
      </c>
      <c r="T20" s="46">
        <f t="shared" si="3"/>
        <v>10200000</v>
      </c>
      <c r="U20" s="39"/>
      <c r="V20" s="39"/>
      <c r="W20" s="40"/>
    </row>
    <row r="21" spans="2:23" ht="25.15" customHeight="1" x14ac:dyDescent="0.35">
      <c r="C21" s="14" t="s">
        <v>39</v>
      </c>
      <c r="F21" s="48" t="s">
        <v>40</v>
      </c>
      <c r="G21" s="46">
        <v>80800000</v>
      </c>
      <c r="H21" s="46">
        <v>0</v>
      </c>
      <c r="I21" s="46">
        <f t="shared" si="1"/>
        <v>80800000</v>
      </c>
      <c r="J21" s="46">
        <v>0</v>
      </c>
      <c r="K21" s="46">
        <f t="shared" si="10"/>
        <v>80800000</v>
      </c>
      <c r="L21" s="46">
        <v>0</v>
      </c>
      <c r="M21" s="46">
        <f>SUM(K21:L21)</f>
        <v>80800000</v>
      </c>
      <c r="N21" s="111">
        <v>80.8</v>
      </c>
      <c r="O21" s="46">
        <f>-2000000</f>
        <v>-2000000</v>
      </c>
      <c r="P21" s="46">
        <f t="shared" si="11"/>
        <v>78800000</v>
      </c>
      <c r="Q21" s="124">
        <v>78.8</v>
      </c>
      <c r="R21" s="45">
        <v>44657687</v>
      </c>
      <c r="S21" s="45">
        <v>0</v>
      </c>
      <c r="T21" s="46">
        <f t="shared" si="3"/>
        <v>44657687</v>
      </c>
      <c r="U21" s="39"/>
      <c r="V21" s="39"/>
      <c r="W21" s="40"/>
    </row>
    <row r="22" spans="2:23" ht="25.15" customHeight="1" x14ac:dyDescent="0.35">
      <c r="E22" s="52" t="s">
        <v>41</v>
      </c>
      <c r="F22" s="32"/>
      <c r="G22" s="53">
        <f>SUM(G20:G21)</f>
        <v>89600000</v>
      </c>
      <c r="H22" s="53">
        <f>SUM(H20:H21)</f>
        <v>-4000000</v>
      </c>
      <c r="I22" s="53">
        <f>SUM(I20:I21)</f>
        <v>85600000</v>
      </c>
      <c r="J22" s="55">
        <f>SUM(J20:J21)</f>
        <v>83000</v>
      </c>
      <c r="K22" s="53">
        <f>SUM(K20:K21)</f>
        <v>85683000</v>
      </c>
      <c r="L22" s="55">
        <f>SUM(L20:L21)</f>
        <v>0</v>
      </c>
      <c r="M22" s="53">
        <f>SUM(M20:M21)</f>
        <v>85683000</v>
      </c>
      <c r="N22" s="112">
        <f>SUM(N20:N21)</f>
        <v>85.6</v>
      </c>
      <c r="O22" s="55">
        <f>SUM(O20:O21)</f>
        <v>-2000000</v>
      </c>
      <c r="P22" s="53">
        <f>SUM(P20:P21)</f>
        <v>83683000</v>
      </c>
      <c r="Q22" s="126">
        <f>SUM(Q20:Q21)</f>
        <v>83.6</v>
      </c>
      <c r="R22" s="55">
        <f>SUM(R20:R21)</f>
        <v>46857687</v>
      </c>
      <c r="S22" s="55">
        <f>SUM(S20:S21)</f>
        <v>8000000</v>
      </c>
      <c r="T22" s="53">
        <f>SUM(T20:T21)</f>
        <v>54857687</v>
      </c>
      <c r="U22" s="39"/>
      <c r="V22" s="39"/>
      <c r="W22" s="40"/>
    </row>
    <row r="23" spans="2:23" ht="25.15" customHeight="1" x14ac:dyDescent="0.35">
      <c r="B23" s="30"/>
      <c r="C23" s="30"/>
      <c r="D23" s="30" t="s">
        <v>42</v>
      </c>
      <c r="F23" s="56"/>
      <c r="G23" s="49"/>
      <c r="H23" s="49"/>
      <c r="I23" s="49"/>
      <c r="J23" s="49"/>
      <c r="K23" s="49"/>
      <c r="L23" s="49"/>
      <c r="M23" s="50"/>
      <c r="N23" s="116"/>
      <c r="O23" s="49"/>
      <c r="P23" s="50"/>
      <c r="Q23" s="125"/>
      <c r="R23" s="49"/>
      <c r="S23" s="49"/>
      <c r="T23" s="50">
        <v>0</v>
      </c>
      <c r="U23" s="39"/>
      <c r="V23" s="39"/>
      <c r="W23" s="40"/>
    </row>
    <row r="24" spans="2:23" ht="25.15" customHeight="1" thickBot="1" x14ac:dyDescent="0.4">
      <c r="B24" s="31"/>
      <c r="C24" s="31"/>
      <c r="D24" s="31"/>
      <c r="E24" s="57" t="s">
        <v>43</v>
      </c>
      <c r="F24" s="32"/>
      <c r="G24" s="58">
        <f>+G18+G22</f>
        <v>271700000</v>
      </c>
      <c r="H24" s="58">
        <f>+H18+H22</f>
        <v>-4000000</v>
      </c>
      <c r="I24" s="58">
        <f>+I18+I22</f>
        <v>267700000</v>
      </c>
      <c r="J24" s="58">
        <f>+J18+J22</f>
        <v>4220380</v>
      </c>
      <c r="K24" s="58">
        <f>+K18+K22</f>
        <v>271920380</v>
      </c>
      <c r="L24" s="58">
        <f>+L18+L22</f>
        <v>-971468</v>
      </c>
      <c r="M24" s="58">
        <f>+M18+M22</f>
        <v>270948912</v>
      </c>
      <c r="N24" s="113">
        <f>+N18+N22</f>
        <v>270.79999999999995</v>
      </c>
      <c r="O24" s="58">
        <f>+O18+O22</f>
        <v>-2000000</v>
      </c>
      <c r="P24" s="58">
        <f>+P18+P22</f>
        <v>268948912</v>
      </c>
      <c r="Q24" s="127">
        <f>+Q18+Q22</f>
        <v>268.79999999999995</v>
      </c>
      <c r="R24" s="59">
        <f>+R18+R22</f>
        <v>219779159</v>
      </c>
      <c r="S24" s="59">
        <f>+S18+S22</f>
        <v>8000000</v>
      </c>
      <c r="T24" s="58">
        <f>+T18+T22</f>
        <v>227779159</v>
      </c>
      <c r="U24" s="39"/>
      <c r="V24" s="39"/>
      <c r="W24" s="40"/>
    </row>
    <row r="25" spans="2:23" ht="25.15" customHeight="1" x14ac:dyDescent="0.35">
      <c r="B25" s="41" t="s">
        <v>44</v>
      </c>
      <c r="C25" s="42"/>
      <c r="D25" s="42"/>
      <c r="E25" s="43"/>
      <c r="F25" s="44"/>
      <c r="G25" s="60"/>
      <c r="H25" s="60"/>
      <c r="I25" s="60"/>
      <c r="J25" s="60"/>
      <c r="K25" s="60"/>
      <c r="L25" s="60"/>
      <c r="M25" s="60"/>
      <c r="N25" s="111"/>
      <c r="O25" s="60"/>
      <c r="P25" s="60"/>
      <c r="Q25" s="124"/>
      <c r="R25" s="61"/>
      <c r="S25" s="61"/>
      <c r="T25" s="60"/>
      <c r="U25" s="39"/>
      <c r="V25" s="39"/>
      <c r="W25" s="40"/>
    </row>
    <row r="26" spans="2:23" ht="25.15" customHeight="1" x14ac:dyDescent="0.35">
      <c r="B26" s="62"/>
      <c r="C26" s="14" t="s">
        <v>45</v>
      </c>
      <c r="E26" s="62"/>
      <c r="G26" s="46">
        <f>G49</f>
        <v>15200000</v>
      </c>
      <c r="H26" s="46">
        <f t="shared" ref="H26:M26" si="12">H49</f>
        <v>0</v>
      </c>
      <c r="I26" s="46">
        <f t="shared" si="12"/>
        <v>15200000</v>
      </c>
      <c r="J26" s="46">
        <f t="shared" si="12"/>
        <v>-900000</v>
      </c>
      <c r="K26" s="46">
        <f t="shared" si="12"/>
        <v>14300000</v>
      </c>
      <c r="L26" s="46">
        <f t="shared" si="12"/>
        <v>900000</v>
      </c>
      <c r="M26" s="46">
        <f t="shared" si="12"/>
        <v>15200000</v>
      </c>
      <c r="N26" s="111">
        <v>15.2</v>
      </c>
      <c r="O26" s="46">
        <f t="shared" ref="O26:P26" si="13">O49</f>
        <v>0</v>
      </c>
      <c r="P26" s="46">
        <f t="shared" si="13"/>
        <v>15200000</v>
      </c>
      <c r="Q26" s="124">
        <v>15.2</v>
      </c>
      <c r="R26" s="46">
        <f t="shared" ref="R26:T26" si="14">R49</f>
        <v>15200000</v>
      </c>
      <c r="S26" s="46">
        <f t="shared" si="14"/>
        <v>1277788</v>
      </c>
      <c r="T26" s="46">
        <f t="shared" si="14"/>
        <v>16477788</v>
      </c>
      <c r="U26" s="39" t="s">
        <v>46</v>
      </c>
      <c r="V26" s="39"/>
      <c r="W26" s="40"/>
    </row>
    <row r="27" spans="2:23" ht="25.15" customHeight="1" x14ac:dyDescent="0.35">
      <c r="C27" s="30" t="s">
        <v>277</v>
      </c>
      <c r="F27" s="48" t="s">
        <v>48</v>
      </c>
      <c r="G27" s="46">
        <f>G124-G26</f>
        <v>239382289</v>
      </c>
      <c r="H27" s="46">
        <f>H124-H26</f>
        <v>-4000000</v>
      </c>
      <c r="I27" s="46">
        <f>I124-I26</f>
        <v>235382289</v>
      </c>
      <c r="J27" s="46">
        <f>J124-J26</f>
        <v>12438474</v>
      </c>
      <c r="K27" s="46">
        <f>K124-K26</f>
        <v>247820763</v>
      </c>
      <c r="L27" s="46">
        <f>L124-L26</f>
        <v>-1837559</v>
      </c>
      <c r="M27" s="46">
        <f>M124-M26</f>
        <v>245983204</v>
      </c>
      <c r="N27" s="111">
        <v>245.8</v>
      </c>
      <c r="O27" s="46">
        <f>O124-O26</f>
        <v>-2085000</v>
      </c>
      <c r="P27" s="46">
        <f>P124-P26</f>
        <v>243898204</v>
      </c>
      <c r="Q27" s="124">
        <v>243.7</v>
      </c>
      <c r="R27" s="46">
        <f>R124-R26</f>
        <v>195410705</v>
      </c>
      <c r="S27" s="46">
        <f>S124-S26</f>
        <v>6722212</v>
      </c>
      <c r="T27" s="46">
        <f>T124-T26</f>
        <v>202132917</v>
      </c>
      <c r="U27" s="39"/>
      <c r="V27" s="39"/>
      <c r="W27" s="40"/>
    </row>
    <row r="28" spans="2:23" ht="25.15" customHeight="1" x14ac:dyDescent="0.35">
      <c r="C28" s="30" t="s">
        <v>47</v>
      </c>
      <c r="F28" s="32"/>
      <c r="G28" s="83">
        <f>SUM(G25:G27)</f>
        <v>254582289</v>
      </c>
      <c r="H28" s="83">
        <f t="shared" ref="H28:M28" si="15">SUM(H25:H27)</f>
        <v>-4000000</v>
      </c>
      <c r="I28" s="83">
        <f t="shared" si="15"/>
        <v>250582289</v>
      </c>
      <c r="J28" s="83">
        <f t="shared" si="15"/>
        <v>11538474</v>
      </c>
      <c r="K28" s="83">
        <f t="shared" si="15"/>
        <v>262120763</v>
      </c>
      <c r="L28" s="83">
        <f t="shared" si="15"/>
        <v>-937559</v>
      </c>
      <c r="M28" s="83">
        <f t="shared" si="15"/>
        <v>261183204</v>
      </c>
      <c r="N28" s="112">
        <f t="shared" ref="N28" si="16">SUM(N25:N27)</f>
        <v>261</v>
      </c>
      <c r="O28" s="83">
        <f t="shared" ref="O28" si="17">SUM(O25:O27)</f>
        <v>-2085000</v>
      </c>
      <c r="P28" s="83">
        <f t="shared" ref="P28:R28" si="18">SUM(P25:P27)</f>
        <v>259098204</v>
      </c>
      <c r="Q28" s="126">
        <f t="shared" ref="Q28" si="19">SUM(Q25:Q27)</f>
        <v>258.89999999999998</v>
      </c>
      <c r="R28" s="83">
        <f t="shared" si="18"/>
        <v>210610705</v>
      </c>
      <c r="S28" s="83">
        <f t="shared" ref="S28" si="20">SUM(S25:S27)</f>
        <v>8000000</v>
      </c>
      <c r="T28" s="83">
        <f t="shared" ref="T28" si="21">SUM(T25:T27)</f>
        <v>218610705</v>
      </c>
      <c r="U28" s="39"/>
      <c r="V28" s="39"/>
      <c r="W28" s="40"/>
    </row>
    <row r="29" spans="2:23" ht="25.15" customHeight="1" x14ac:dyDescent="0.35">
      <c r="C29" s="14" t="s">
        <v>49</v>
      </c>
      <c r="F29" s="48" t="s">
        <v>48</v>
      </c>
      <c r="G29" s="46">
        <f>G198</f>
        <v>9624732</v>
      </c>
      <c r="H29" s="46">
        <f t="shared" ref="H29:M29" si="22">H198</f>
        <v>0</v>
      </c>
      <c r="I29" s="46">
        <f t="shared" si="22"/>
        <v>9624732</v>
      </c>
      <c r="J29" s="46">
        <f t="shared" si="22"/>
        <v>174885</v>
      </c>
      <c r="K29" s="46">
        <f t="shared" si="22"/>
        <v>9799617</v>
      </c>
      <c r="L29" s="46">
        <f t="shared" si="22"/>
        <v>-33909</v>
      </c>
      <c r="M29" s="46">
        <f t="shared" si="22"/>
        <v>9765708</v>
      </c>
      <c r="N29" s="111">
        <v>9.8000000000000007</v>
      </c>
      <c r="O29" s="46">
        <f t="shared" ref="O29:P29" si="23">O198</f>
        <v>85000</v>
      </c>
      <c r="P29" s="46">
        <f t="shared" si="23"/>
        <v>9850708</v>
      </c>
      <c r="Q29" s="124">
        <v>9.9</v>
      </c>
      <c r="R29" s="46">
        <f t="shared" ref="R29:T29" si="24">R198</f>
        <v>9168454</v>
      </c>
      <c r="S29" s="46">
        <f t="shared" si="24"/>
        <v>0</v>
      </c>
      <c r="T29" s="46">
        <f t="shared" si="24"/>
        <v>9168454</v>
      </c>
      <c r="U29" s="39"/>
      <c r="V29" s="39"/>
      <c r="W29" s="40"/>
    </row>
    <row r="30" spans="2:23" ht="25.15" customHeight="1" thickBot="1" x14ac:dyDescent="0.4">
      <c r="B30" s="31"/>
      <c r="C30" s="31"/>
      <c r="D30" s="31"/>
      <c r="E30" s="57" t="s">
        <v>51</v>
      </c>
      <c r="F30" s="32"/>
      <c r="G30" s="58">
        <f>SUM(G28:G29)</f>
        <v>264207021</v>
      </c>
      <c r="H30" s="58">
        <f t="shared" ref="H30:M30" si="25">SUM(H28:H29)</f>
        <v>-4000000</v>
      </c>
      <c r="I30" s="58">
        <f t="shared" si="25"/>
        <v>260207021</v>
      </c>
      <c r="J30" s="58">
        <f t="shared" si="25"/>
        <v>11713359</v>
      </c>
      <c r="K30" s="58">
        <f t="shared" si="25"/>
        <v>271920380</v>
      </c>
      <c r="L30" s="58">
        <f t="shared" si="25"/>
        <v>-971468</v>
      </c>
      <c r="M30" s="58">
        <f t="shared" si="25"/>
        <v>270948912</v>
      </c>
      <c r="N30" s="113">
        <f t="shared" ref="N30:Q30" si="26">SUM(N28:N29)</f>
        <v>270.8</v>
      </c>
      <c r="O30" s="58">
        <f t="shared" ref="O30" si="27">SUM(O28:O29)</f>
        <v>-2000000</v>
      </c>
      <c r="P30" s="58">
        <f t="shared" ref="P30:R30" si="28">SUM(P28:P29)</f>
        <v>268948912</v>
      </c>
      <c r="Q30" s="127">
        <f t="shared" si="26"/>
        <v>268.79999999999995</v>
      </c>
      <c r="R30" s="58">
        <f t="shared" si="28"/>
        <v>219779159</v>
      </c>
      <c r="S30" s="58">
        <f t="shared" ref="S30" si="29">SUM(S28:S29)</f>
        <v>8000000</v>
      </c>
      <c r="T30" s="58">
        <f t="shared" ref="T30" si="30">SUM(T28:T29)</f>
        <v>227779159</v>
      </c>
      <c r="U30" s="39"/>
      <c r="V30" s="39"/>
      <c r="W30" s="40"/>
    </row>
    <row r="31" spans="2:23" ht="25.15" customHeight="1" thickBot="1" x14ac:dyDescent="0.4">
      <c r="B31" s="31"/>
      <c r="C31" s="31"/>
      <c r="D31" s="31"/>
      <c r="E31" s="52" t="s">
        <v>52</v>
      </c>
      <c r="F31" s="32"/>
      <c r="G31" s="64">
        <f>+G24-G30</f>
        <v>7492979</v>
      </c>
      <c r="H31" s="64">
        <f t="shared" ref="H31:M31" si="31">+H24-H30</f>
        <v>0</v>
      </c>
      <c r="I31" s="64">
        <f t="shared" si="31"/>
        <v>7492979</v>
      </c>
      <c r="J31" s="64">
        <f t="shared" si="31"/>
        <v>-7492979</v>
      </c>
      <c r="K31" s="64">
        <f t="shared" si="31"/>
        <v>0</v>
      </c>
      <c r="L31" s="64">
        <f t="shared" si="31"/>
        <v>0</v>
      </c>
      <c r="M31" s="64">
        <f t="shared" si="31"/>
        <v>0</v>
      </c>
      <c r="N31" s="114">
        <f>+N24-N30</f>
        <v>0</v>
      </c>
      <c r="O31" s="64">
        <f t="shared" ref="O31" si="32">+O24-O30</f>
        <v>0</v>
      </c>
      <c r="P31" s="64">
        <f t="shared" ref="P31:R31" si="33">+P24-P30</f>
        <v>0</v>
      </c>
      <c r="Q31" s="128">
        <f>+Q24-Q30</f>
        <v>0</v>
      </c>
      <c r="R31" s="64">
        <f t="shared" si="33"/>
        <v>0</v>
      </c>
      <c r="S31" s="64">
        <f t="shared" ref="S31" si="34">+S24-S30</f>
        <v>0</v>
      </c>
      <c r="T31" s="64">
        <f t="shared" ref="T31" si="35">+T24-T30</f>
        <v>0</v>
      </c>
      <c r="U31" s="39"/>
      <c r="V31" s="39"/>
      <c r="W31" s="40"/>
    </row>
    <row r="32" spans="2:23" ht="25.15" customHeight="1" thickTop="1" x14ac:dyDescent="0.35">
      <c r="B32" s="41" t="s">
        <v>53</v>
      </c>
      <c r="C32" s="42"/>
      <c r="D32" s="42"/>
      <c r="E32" s="43"/>
      <c r="F32" s="44"/>
      <c r="G32" s="46"/>
      <c r="H32" s="46"/>
      <c r="I32" s="46"/>
      <c r="J32" s="46"/>
      <c r="K32" s="46"/>
      <c r="L32" s="46"/>
      <c r="N32" s="111"/>
      <c r="O32" s="46"/>
      <c r="Q32" s="124"/>
      <c r="U32" s="39"/>
      <c r="V32" s="39"/>
      <c r="W32" s="40"/>
    </row>
    <row r="33" spans="2:23" ht="25.15" customHeight="1" x14ac:dyDescent="0.35">
      <c r="B33" s="14" t="s">
        <v>54</v>
      </c>
      <c r="F33" s="48" t="s">
        <v>55</v>
      </c>
      <c r="G33" s="46">
        <v>200000</v>
      </c>
      <c r="H33" s="46">
        <v>0</v>
      </c>
      <c r="I33" s="46">
        <f t="shared" ref="I33:I35" si="36">SUM(G33:H33)</f>
        <v>200000</v>
      </c>
      <c r="J33" s="46">
        <f>-200000</f>
        <v>-200000</v>
      </c>
      <c r="K33" s="46">
        <f t="shared" ref="K33:K35" si="37">SUM(I33:J33)</f>
        <v>0</v>
      </c>
      <c r="L33" s="46">
        <v>0</v>
      </c>
      <c r="M33" s="46">
        <f>SUM(K33:L33)</f>
        <v>0</v>
      </c>
      <c r="N33" s="111">
        <v>12.5</v>
      </c>
      <c r="O33" s="46">
        <v>0</v>
      </c>
      <c r="P33" s="50">
        <f t="shared" ref="P33:P35" si="38">+M33+O33</f>
        <v>0</v>
      </c>
      <c r="Q33" s="124">
        <v>0</v>
      </c>
      <c r="R33" s="45">
        <v>2930811</v>
      </c>
      <c r="S33" s="45">
        <v>0</v>
      </c>
      <c r="T33" s="46">
        <f t="shared" ref="T33:T35" si="39">SUM(R33:S33)</f>
        <v>2930811</v>
      </c>
      <c r="U33" s="39"/>
      <c r="V33" s="39"/>
      <c r="W33" s="40"/>
    </row>
    <row r="34" spans="2:23" ht="25.15" customHeight="1" x14ac:dyDescent="0.35">
      <c r="B34" s="14" t="s">
        <v>56</v>
      </c>
      <c r="F34" s="48" t="s">
        <v>57</v>
      </c>
      <c r="G34" s="46">
        <v>0</v>
      </c>
      <c r="H34" s="46">
        <v>0</v>
      </c>
      <c r="I34" s="46">
        <f t="shared" si="36"/>
        <v>0</v>
      </c>
      <c r="J34" s="46">
        <v>0</v>
      </c>
      <c r="K34" s="46">
        <f t="shared" si="37"/>
        <v>0</v>
      </c>
      <c r="L34" s="46">
        <v>0</v>
      </c>
      <c r="M34" s="46">
        <f>SUM(K34:L34)</f>
        <v>0</v>
      </c>
      <c r="N34" s="111">
        <v>0</v>
      </c>
      <c r="O34" s="46">
        <v>0</v>
      </c>
      <c r="P34" s="50">
        <f t="shared" si="38"/>
        <v>0</v>
      </c>
      <c r="Q34" s="124">
        <v>0</v>
      </c>
      <c r="R34" s="45">
        <v>12883000</v>
      </c>
      <c r="S34" s="45">
        <f>-8000000</f>
        <v>-8000000</v>
      </c>
      <c r="T34" s="46">
        <f t="shared" si="39"/>
        <v>4883000</v>
      </c>
      <c r="U34" s="39"/>
      <c r="V34" s="39"/>
      <c r="W34" s="40"/>
    </row>
    <row r="35" spans="2:23" ht="25.15" customHeight="1" x14ac:dyDescent="0.35">
      <c r="B35" s="14" t="s">
        <v>50</v>
      </c>
      <c r="F35" s="47" t="s">
        <v>58</v>
      </c>
      <c r="G35" s="46">
        <v>25975721</v>
      </c>
      <c r="H35" s="46">
        <v>0</v>
      </c>
      <c r="I35" s="46">
        <f t="shared" si="36"/>
        <v>25975721</v>
      </c>
      <c r="J35" s="46">
        <v>0</v>
      </c>
      <c r="K35" s="46">
        <f t="shared" si="37"/>
        <v>25975721</v>
      </c>
      <c r="L35" s="46">
        <v>0</v>
      </c>
      <c r="M35" s="46">
        <f>SUM(K35:L35)</f>
        <v>25975721</v>
      </c>
      <c r="N35" s="111">
        <v>26</v>
      </c>
      <c r="O35" s="46">
        <v>0</v>
      </c>
      <c r="P35" s="50">
        <f t="shared" si="38"/>
        <v>25975721</v>
      </c>
      <c r="Q35" s="124">
        <v>26</v>
      </c>
      <c r="R35" s="45">
        <v>25975721</v>
      </c>
      <c r="S35" s="45">
        <v>0</v>
      </c>
      <c r="T35" s="46">
        <f t="shared" si="39"/>
        <v>25975721</v>
      </c>
      <c r="U35" s="39"/>
      <c r="V35" s="39"/>
      <c r="W35" s="40"/>
    </row>
    <row r="36" spans="2:23" ht="25.15" customHeight="1" thickBot="1" x14ac:dyDescent="0.4">
      <c r="B36" s="31"/>
      <c r="C36" s="31"/>
      <c r="D36" s="31"/>
      <c r="E36" s="57" t="s">
        <v>59</v>
      </c>
      <c r="F36" s="32"/>
      <c r="G36" s="58">
        <f>SUM(G33:G35)</f>
        <v>26175721</v>
      </c>
      <c r="H36" s="58">
        <f>SUM(H33:H35)</f>
        <v>0</v>
      </c>
      <c r="I36" s="58">
        <f>SUM(I33:I35)</f>
        <v>26175721</v>
      </c>
      <c r="J36" s="58">
        <f>SUM(J33:J35)</f>
        <v>-200000</v>
      </c>
      <c r="K36" s="58">
        <f>SUM(K33:K35)</f>
        <v>25975721</v>
      </c>
      <c r="L36" s="58">
        <f>SUM(L33:L35)</f>
        <v>0</v>
      </c>
      <c r="M36" s="58">
        <f>SUM(M33:M35)</f>
        <v>25975721</v>
      </c>
      <c r="N36" s="113">
        <f>SUM(N33:N35)</f>
        <v>38.5</v>
      </c>
      <c r="O36" s="58">
        <f>SUM(O33:O35)</f>
        <v>0</v>
      </c>
      <c r="P36" s="58">
        <f>SUM(P33:P35)</f>
        <v>25975721</v>
      </c>
      <c r="Q36" s="127">
        <f>SUM(Q33:Q35)</f>
        <v>26</v>
      </c>
      <c r="R36" s="59">
        <f>SUM(R33:R35)</f>
        <v>41789532</v>
      </c>
      <c r="S36" s="59">
        <f>SUM(S33:S35)</f>
        <v>-8000000</v>
      </c>
      <c r="T36" s="58">
        <f>SUM(T33:T35)</f>
        <v>33789532</v>
      </c>
      <c r="U36" s="39"/>
      <c r="V36" s="39"/>
      <c r="W36" s="40"/>
    </row>
    <row r="37" spans="2:23" s="70" customFormat="1" ht="4.1500000000000004" customHeight="1" x14ac:dyDescent="0.35">
      <c r="B37" s="65"/>
      <c r="C37" s="65"/>
      <c r="D37" s="65"/>
      <c r="E37" s="65"/>
      <c r="F37" s="66"/>
      <c r="G37" s="67"/>
      <c r="H37" s="67"/>
      <c r="I37" s="67"/>
      <c r="J37" s="67"/>
      <c r="K37" s="67"/>
      <c r="L37" s="67"/>
      <c r="M37" s="67"/>
      <c r="N37" s="116"/>
      <c r="O37" s="67"/>
      <c r="P37" s="67"/>
      <c r="Q37" s="125"/>
      <c r="R37" s="67"/>
      <c r="S37" s="67"/>
      <c r="T37" s="67"/>
      <c r="U37" s="68"/>
      <c r="V37" s="68"/>
      <c r="W37" s="69"/>
    </row>
    <row r="38" spans="2:23" ht="33" customHeight="1" x14ac:dyDescent="0.35">
      <c r="B38" s="71" t="s">
        <v>60</v>
      </c>
      <c r="C38" s="72"/>
      <c r="D38" s="72"/>
      <c r="E38" s="31"/>
      <c r="F38" s="32"/>
      <c r="G38" s="67"/>
      <c r="H38" s="67"/>
      <c r="I38" s="67"/>
      <c r="J38" s="67"/>
      <c r="K38" s="67"/>
      <c r="L38" s="67"/>
      <c r="M38" s="67"/>
      <c r="N38" s="116"/>
      <c r="O38" s="67"/>
      <c r="P38" s="67"/>
      <c r="Q38" s="125"/>
      <c r="R38" s="73"/>
      <c r="S38" s="73"/>
      <c r="T38" s="67"/>
      <c r="U38" s="39"/>
      <c r="V38" s="39"/>
      <c r="W38" s="40"/>
    </row>
    <row r="39" spans="2:23" ht="28.15" customHeight="1" x14ac:dyDescent="0.35">
      <c r="B39" s="74" t="s">
        <v>61</v>
      </c>
      <c r="C39" s="75"/>
      <c r="D39" s="75"/>
      <c r="G39" s="46"/>
      <c r="H39" s="46"/>
      <c r="I39" s="46"/>
      <c r="J39" s="46"/>
      <c r="K39" s="46"/>
      <c r="L39" s="46"/>
      <c r="N39" s="111"/>
      <c r="O39" s="46"/>
      <c r="Q39" s="124"/>
      <c r="U39" s="39"/>
      <c r="V39" s="39"/>
      <c r="W39" s="40"/>
    </row>
    <row r="40" spans="2:23" ht="21" x14ac:dyDescent="0.35">
      <c r="B40" s="29" t="s">
        <v>62</v>
      </c>
      <c r="C40" s="76"/>
      <c r="D40" s="76"/>
      <c r="G40" s="46"/>
      <c r="H40" s="46"/>
      <c r="I40" s="46"/>
      <c r="J40" s="46"/>
      <c r="K40" s="46"/>
      <c r="L40" s="46"/>
      <c r="N40" s="111"/>
      <c r="O40" s="46"/>
      <c r="Q40" s="124"/>
      <c r="U40" s="39"/>
      <c r="V40" s="39"/>
      <c r="W40" s="40"/>
    </row>
    <row r="41" spans="2:23" ht="21" x14ac:dyDescent="0.35">
      <c r="B41" s="62"/>
      <c r="C41" s="14" t="s">
        <v>63</v>
      </c>
      <c r="G41" s="46">
        <v>27900000</v>
      </c>
      <c r="H41" s="46">
        <v>0</v>
      </c>
      <c r="I41" s="46">
        <f>SUM(G41:H41)</f>
        <v>27900000</v>
      </c>
      <c r="J41" s="46">
        <v>0</v>
      </c>
      <c r="K41" s="46">
        <f>SUM(I41:J41)</f>
        <v>27900000</v>
      </c>
      <c r="L41" s="46">
        <v>0</v>
      </c>
      <c r="M41" s="46">
        <f t="shared" ref="M41:M46" si="40">SUM(K41:L41)</f>
        <v>27900000</v>
      </c>
      <c r="N41" s="111"/>
      <c r="O41" s="46">
        <v>0</v>
      </c>
      <c r="P41" s="46">
        <f t="shared" ref="P41:P46" si="41">+M41+O41</f>
        <v>27900000</v>
      </c>
      <c r="Q41" s="124"/>
      <c r="R41" s="46">
        <v>27900000</v>
      </c>
      <c r="S41" s="46">
        <v>0</v>
      </c>
      <c r="T41" s="46">
        <f>SUM(R41:S41)</f>
        <v>27900000</v>
      </c>
      <c r="U41" s="39" t="s">
        <v>64</v>
      </c>
      <c r="V41" s="39">
        <v>603</v>
      </c>
      <c r="W41" s="40">
        <v>27900000</v>
      </c>
    </row>
    <row r="42" spans="2:23" ht="21" x14ac:dyDescent="0.35">
      <c r="B42" s="77"/>
      <c r="C42" s="30" t="s">
        <v>65</v>
      </c>
      <c r="D42" s="30"/>
      <c r="E42" s="30"/>
      <c r="F42" s="48"/>
      <c r="G42" s="46">
        <v>25000000</v>
      </c>
      <c r="H42" s="46">
        <v>0</v>
      </c>
      <c r="I42" s="46">
        <f t="shared" ref="I42:I46" si="42">SUM(G42:H42)</f>
        <v>25000000</v>
      </c>
      <c r="J42" s="46">
        <v>0</v>
      </c>
      <c r="K42" s="46">
        <f t="shared" ref="K42:K46" si="43">SUM(I42:J42)</f>
        <v>25000000</v>
      </c>
      <c r="L42" s="46">
        <v>0</v>
      </c>
      <c r="M42" s="46">
        <f t="shared" si="40"/>
        <v>25000000</v>
      </c>
      <c r="N42" s="111"/>
      <c r="O42" s="46">
        <v>0</v>
      </c>
      <c r="P42" s="46">
        <f t="shared" si="41"/>
        <v>25000000</v>
      </c>
      <c r="Q42" s="124"/>
      <c r="R42" s="46">
        <v>30000000</v>
      </c>
      <c r="S42" s="46">
        <v>0</v>
      </c>
      <c r="T42" s="46">
        <f t="shared" ref="T42:T46" si="44">SUM(R42:S42)</f>
        <v>30000000</v>
      </c>
      <c r="U42" s="39" t="s">
        <v>66</v>
      </c>
      <c r="V42" s="39" t="s">
        <v>67</v>
      </c>
      <c r="W42" s="40">
        <v>30000000</v>
      </c>
    </row>
    <row r="43" spans="2:23" ht="21" x14ac:dyDescent="0.35">
      <c r="B43" s="62"/>
      <c r="C43" s="14" t="s">
        <v>68</v>
      </c>
      <c r="G43" s="46">
        <v>20000000</v>
      </c>
      <c r="H43" s="46">
        <v>0</v>
      </c>
      <c r="I43" s="46">
        <f t="shared" si="42"/>
        <v>20000000</v>
      </c>
      <c r="J43" s="46">
        <v>0</v>
      </c>
      <c r="K43" s="46">
        <f t="shared" si="43"/>
        <v>20000000</v>
      </c>
      <c r="L43" s="46">
        <v>0</v>
      </c>
      <c r="M43" s="46">
        <f t="shared" si="40"/>
        <v>20000000</v>
      </c>
      <c r="N43" s="111"/>
      <c r="O43" s="46">
        <v>0</v>
      </c>
      <c r="P43" s="46">
        <f t="shared" si="41"/>
        <v>20000000</v>
      </c>
      <c r="Q43" s="124"/>
      <c r="R43" s="46">
        <v>20000000</v>
      </c>
      <c r="S43" s="46">
        <v>0</v>
      </c>
      <c r="T43" s="46">
        <f t="shared" si="44"/>
        <v>20000000</v>
      </c>
      <c r="U43" s="39" t="s">
        <v>69</v>
      </c>
      <c r="V43" s="39" t="s">
        <v>67</v>
      </c>
      <c r="W43" s="40">
        <v>20000000</v>
      </c>
    </row>
    <row r="44" spans="2:23" ht="21" x14ac:dyDescent="0.35">
      <c r="B44" s="62"/>
      <c r="C44" s="14" t="s">
        <v>70</v>
      </c>
      <c r="G44" s="46">
        <v>23800000</v>
      </c>
      <c r="H44" s="46">
        <v>0</v>
      </c>
      <c r="I44" s="46">
        <f t="shared" si="42"/>
        <v>23800000</v>
      </c>
      <c r="J44" s="46">
        <v>0</v>
      </c>
      <c r="K44" s="46">
        <f t="shared" si="43"/>
        <v>23800000</v>
      </c>
      <c r="L44" s="46">
        <v>0</v>
      </c>
      <c r="M44" s="46">
        <f t="shared" si="40"/>
        <v>23800000</v>
      </c>
      <c r="N44" s="111"/>
      <c r="O44" s="46">
        <v>0</v>
      </c>
      <c r="P44" s="46">
        <f t="shared" si="41"/>
        <v>23800000</v>
      </c>
      <c r="Q44" s="124"/>
      <c r="R44" s="46">
        <v>24200000</v>
      </c>
      <c r="S44" s="46">
        <v>0</v>
      </c>
      <c r="T44" s="46">
        <f t="shared" si="44"/>
        <v>24200000</v>
      </c>
      <c r="U44" s="39" t="s">
        <v>71</v>
      </c>
      <c r="V44" s="39" t="s">
        <v>72</v>
      </c>
      <c r="W44" s="40">
        <v>24200000</v>
      </c>
    </row>
    <row r="45" spans="2:23" ht="21" x14ac:dyDescent="0.35">
      <c r="B45" s="62"/>
      <c r="C45" s="14" t="s">
        <v>73</v>
      </c>
      <c r="G45" s="46">
        <v>20200000</v>
      </c>
      <c r="H45" s="46">
        <v>0</v>
      </c>
      <c r="I45" s="46">
        <f t="shared" si="42"/>
        <v>20200000</v>
      </c>
      <c r="J45" s="46">
        <v>0</v>
      </c>
      <c r="K45" s="46">
        <f t="shared" si="43"/>
        <v>20200000</v>
      </c>
      <c r="L45" s="46">
        <v>0</v>
      </c>
      <c r="M45" s="46">
        <f t="shared" si="40"/>
        <v>20200000</v>
      </c>
      <c r="N45" s="111"/>
      <c r="O45" s="46">
        <v>0</v>
      </c>
      <c r="P45" s="46">
        <f t="shared" si="41"/>
        <v>20200000</v>
      </c>
      <c r="Q45" s="124"/>
      <c r="R45" s="46">
        <v>20200000</v>
      </c>
      <c r="S45" s="46">
        <v>0</v>
      </c>
      <c r="T45" s="46">
        <f t="shared" si="44"/>
        <v>20200000</v>
      </c>
      <c r="U45" s="39" t="s">
        <v>74</v>
      </c>
      <c r="V45" s="39" t="s">
        <v>75</v>
      </c>
      <c r="W45" s="40">
        <v>20200000</v>
      </c>
    </row>
    <row r="46" spans="2:23" ht="21" x14ac:dyDescent="0.35">
      <c r="B46" s="77"/>
      <c r="C46" s="30" t="s">
        <v>76</v>
      </c>
      <c r="D46" s="30"/>
      <c r="E46" s="30"/>
      <c r="F46" s="48"/>
      <c r="G46" s="46">
        <v>500000</v>
      </c>
      <c r="H46" s="46">
        <v>0</v>
      </c>
      <c r="I46" s="46">
        <f t="shared" si="42"/>
        <v>500000</v>
      </c>
      <c r="J46" s="46">
        <v>0</v>
      </c>
      <c r="K46" s="46">
        <f t="shared" si="43"/>
        <v>500000</v>
      </c>
      <c r="L46" s="46">
        <v>0</v>
      </c>
      <c r="M46" s="46">
        <f t="shared" si="40"/>
        <v>500000</v>
      </c>
      <c r="N46" s="111"/>
      <c r="O46" s="46">
        <v>0</v>
      </c>
      <c r="P46" s="46">
        <f t="shared" si="41"/>
        <v>500000</v>
      </c>
      <c r="Q46" s="124"/>
      <c r="R46" s="46">
        <v>0</v>
      </c>
      <c r="S46" s="46">
        <v>0</v>
      </c>
      <c r="T46" s="46">
        <f t="shared" si="44"/>
        <v>0</v>
      </c>
      <c r="U46" s="39"/>
      <c r="V46" s="39"/>
      <c r="W46" s="40"/>
    </row>
    <row r="47" spans="2:23" ht="21" x14ac:dyDescent="0.35">
      <c r="B47" s="78"/>
      <c r="C47" s="79"/>
      <c r="D47" s="79"/>
      <c r="E47" s="80" t="s">
        <v>77</v>
      </c>
      <c r="F47" s="81"/>
      <c r="G47" s="53">
        <f>SUM(G41:G46)</f>
        <v>117400000</v>
      </c>
      <c r="H47" s="53">
        <f t="shared" ref="H47:T47" si="45">SUM(H41:H46)</f>
        <v>0</v>
      </c>
      <c r="I47" s="53">
        <f t="shared" si="45"/>
        <v>117400000</v>
      </c>
      <c r="J47" s="53">
        <f t="shared" si="45"/>
        <v>0</v>
      </c>
      <c r="K47" s="53">
        <f t="shared" si="45"/>
        <v>117400000</v>
      </c>
      <c r="L47" s="53">
        <f t="shared" si="45"/>
        <v>0</v>
      </c>
      <c r="M47" s="53">
        <f t="shared" si="45"/>
        <v>117400000</v>
      </c>
      <c r="N47" s="112">
        <v>117.4</v>
      </c>
      <c r="O47" s="53">
        <f t="shared" ref="O47:P47" si="46">SUM(O41:O46)</f>
        <v>0</v>
      </c>
      <c r="P47" s="53">
        <f t="shared" si="46"/>
        <v>117400000</v>
      </c>
      <c r="Q47" s="126">
        <v>117.4</v>
      </c>
      <c r="R47" s="53">
        <f t="shared" si="45"/>
        <v>122300000</v>
      </c>
      <c r="S47" s="53">
        <f t="shared" si="45"/>
        <v>0</v>
      </c>
      <c r="T47" s="53">
        <f t="shared" si="45"/>
        <v>122300000</v>
      </c>
      <c r="U47" s="39"/>
      <c r="V47" s="39"/>
      <c r="W47" s="40"/>
    </row>
    <row r="48" spans="2:23" ht="44.45" customHeight="1" x14ac:dyDescent="0.35">
      <c r="B48" s="29" t="s">
        <v>78</v>
      </c>
      <c r="C48" s="76"/>
      <c r="D48" s="76"/>
      <c r="E48" s="62"/>
      <c r="G48" s="46"/>
      <c r="H48" s="46"/>
      <c r="I48" s="46"/>
      <c r="J48" s="46"/>
      <c r="K48" s="46"/>
      <c r="L48" s="46"/>
      <c r="N48" s="111"/>
      <c r="O48" s="46"/>
      <c r="Q48" s="124"/>
      <c r="R48" s="46"/>
      <c r="S48" s="46"/>
      <c r="U48" s="39"/>
      <c r="V48" s="39"/>
      <c r="W48" s="40"/>
    </row>
    <row r="49" spans="2:23" ht="21" x14ac:dyDescent="0.35">
      <c r="B49" s="62"/>
      <c r="C49" s="82" t="s">
        <v>45</v>
      </c>
      <c r="E49" s="62"/>
      <c r="G49" s="46">
        <v>15200000</v>
      </c>
      <c r="H49" s="46">
        <v>0</v>
      </c>
      <c r="I49" s="46">
        <f t="shared" ref="I49" si="47">SUM(G49:H49)</f>
        <v>15200000</v>
      </c>
      <c r="J49" s="46">
        <f>-900000</f>
        <v>-900000</v>
      </c>
      <c r="K49" s="46">
        <f t="shared" ref="K49" si="48">SUM(I49:J49)</f>
        <v>14300000</v>
      </c>
      <c r="L49" s="46">
        <f>15200000-K49</f>
        <v>900000</v>
      </c>
      <c r="M49" s="60">
        <f>SUM(K49:L49)</f>
        <v>15200000</v>
      </c>
      <c r="N49" s="111">
        <v>15.2</v>
      </c>
      <c r="O49" s="46">
        <f>15200000-M49</f>
        <v>0</v>
      </c>
      <c r="P49" s="60">
        <f t="shared" ref="P49:P55" si="49">+M49+O49</f>
        <v>15200000</v>
      </c>
      <c r="Q49" s="124">
        <v>15.2</v>
      </c>
      <c r="R49" s="46">
        <v>15200000</v>
      </c>
      <c r="S49" s="63">
        <f>906479+121309+100000+150000</f>
        <v>1277788</v>
      </c>
      <c r="T49" s="60">
        <f t="shared" ref="T49:T118" si="50">SUM(R49:S49)</f>
        <v>16477788</v>
      </c>
      <c r="U49" s="39" t="s">
        <v>46</v>
      </c>
      <c r="V49" s="39"/>
      <c r="W49" s="40"/>
    </row>
    <row r="50" spans="2:23" ht="21" x14ac:dyDescent="0.35">
      <c r="B50" s="62"/>
      <c r="C50" s="82" t="s">
        <v>79</v>
      </c>
      <c r="E50" s="62"/>
      <c r="F50" s="47" t="s">
        <v>80</v>
      </c>
      <c r="G50" s="46">
        <v>4200000</v>
      </c>
      <c r="H50" s="46">
        <v>0</v>
      </c>
      <c r="I50" s="46">
        <f>SUM(G50:H50)</f>
        <v>4200000</v>
      </c>
      <c r="J50" s="46">
        <v>51733</v>
      </c>
      <c r="K50" s="46">
        <f>SUM(I50:J50)</f>
        <v>4251733</v>
      </c>
      <c r="L50" s="46">
        <v>0</v>
      </c>
      <c r="M50" s="60">
        <f>SUM(K50:L50)</f>
        <v>4251733</v>
      </c>
      <c r="N50" s="111">
        <v>4.2</v>
      </c>
      <c r="O50" s="46">
        <v>0</v>
      </c>
      <c r="P50" s="60">
        <f t="shared" si="49"/>
        <v>4251733</v>
      </c>
      <c r="Q50" s="124">
        <v>4.2</v>
      </c>
      <c r="R50" s="46">
        <v>4251733</v>
      </c>
      <c r="S50" s="46">
        <v>0</v>
      </c>
      <c r="T50" s="60">
        <f>SUM(R50:S50)</f>
        <v>4251733</v>
      </c>
      <c r="U50" s="39" t="s">
        <v>81</v>
      </c>
      <c r="V50" s="39" t="s">
        <v>72</v>
      </c>
      <c r="W50" s="40">
        <v>4251733</v>
      </c>
    </row>
    <row r="51" spans="2:23" ht="21" x14ac:dyDescent="0.35">
      <c r="B51" s="77"/>
      <c r="C51" s="9" t="s">
        <v>82</v>
      </c>
      <c r="D51" s="30"/>
      <c r="E51" s="62"/>
      <c r="F51" s="47" t="s">
        <v>83</v>
      </c>
      <c r="G51" s="46"/>
      <c r="H51" s="46"/>
      <c r="I51" s="46"/>
      <c r="J51" s="46"/>
      <c r="K51" s="46"/>
      <c r="L51" s="46"/>
      <c r="N51" s="111"/>
      <c r="O51" s="46"/>
      <c r="Q51" s="124"/>
      <c r="R51" s="46"/>
      <c r="S51" s="46"/>
      <c r="U51" s="39"/>
      <c r="V51" s="39"/>
      <c r="W51" s="40"/>
    </row>
    <row r="52" spans="2:23" ht="21" x14ac:dyDescent="0.35">
      <c r="B52" s="62"/>
      <c r="D52" s="14" t="s">
        <v>84</v>
      </c>
      <c r="E52" s="62"/>
      <c r="F52" s="47" t="s">
        <v>85</v>
      </c>
      <c r="G52" s="46">
        <v>8000000</v>
      </c>
      <c r="H52" s="46">
        <v>0</v>
      </c>
      <c r="I52" s="46">
        <f t="shared" ref="I52:I55" si="51">SUM(G52:H52)</f>
        <v>8000000</v>
      </c>
      <c r="J52" s="46">
        <v>0</v>
      </c>
      <c r="K52" s="46">
        <f t="shared" ref="K52:K53" si="52">SUM(I52:J52)</f>
        <v>8000000</v>
      </c>
      <c r="L52" s="46">
        <v>45166</v>
      </c>
      <c r="M52" s="46">
        <f>SUM(K52:L52)</f>
        <v>8045166</v>
      </c>
      <c r="N52" s="111"/>
      <c r="O52" s="46">
        <v>0</v>
      </c>
      <c r="P52" s="46">
        <f t="shared" si="49"/>
        <v>8045166</v>
      </c>
      <c r="Q52" s="124"/>
      <c r="R52" s="46">
        <v>7925319</v>
      </c>
      <c r="S52" s="46">
        <v>0</v>
      </c>
      <c r="T52" s="46">
        <f t="shared" si="50"/>
        <v>7925319</v>
      </c>
      <c r="U52" s="39" t="s">
        <v>86</v>
      </c>
      <c r="V52" s="39" t="s">
        <v>87</v>
      </c>
      <c r="W52" s="40">
        <v>7925319</v>
      </c>
    </row>
    <row r="53" spans="2:23" ht="21" x14ac:dyDescent="0.35">
      <c r="B53" s="62"/>
      <c r="D53" s="14" t="s">
        <v>88</v>
      </c>
      <c r="E53" s="62"/>
      <c r="G53" s="46">
        <v>500000</v>
      </c>
      <c r="H53" s="46">
        <v>0</v>
      </c>
      <c r="I53" s="46">
        <f t="shared" si="51"/>
        <v>500000</v>
      </c>
      <c r="J53" s="46">
        <v>0</v>
      </c>
      <c r="K53" s="46">
        <f t="shared" si="52"/>
        <v>500000</v>
      </c>
      <c r="L53" s="46">
        <v>0</v>
      </c>
      <c r="M53" s="46">
        <f>SUM(K53:L53)</f>
        <v>500000</v>
      </c>
      <c r="N53" s="111"/>
      <c r="O53" s="46">
        <v>10000</v>
      </c>
      <c r="P53" s="46">
        <f t="shared" si="49"/>
        <v>510000</v>
      </c>
      <c r="Q53" s="124"/>
      <c r="R53" s="46">
        <v>400000</v>
      </c>
      <c r="S53" s="63">
        <v>110000</v>
      </c>
      <c r="T53" s="46">
        <f t="shared" si="50"/>
        <v>510000</v>
      </c>
      <c r="U53" s="39" t="s">
        <v>89</v>
      </c>
      <c r="V53" s="39"/>
      <c r="W53" s="40"/>
    </row>
    <row r="54" spans="2:23" ht="21" x14ac:dyDescent="0.35">
      <c r="B54" s="77"/>
      <c r="C54" s="30"/>
      <c r="D54" s="30" t="s">
        <v>91</v>
      </c>
      <c r="E54" s="77"/>
      <c r="F54" s="47" t="s">
        <v>92</v>
      </c>
      <c r="G54" s="50">
        <v>500000</v>
      </c>
      <c r="H54" s="50">
        <v>0</v>
      </c>
      <c r="I54" s="50">
        <f t="shared" si="51"/>
        <v>500000</v>
      </c>
      <c r="J54" s="50">
        <v>0</v>
      </c>
      <c r="K54" s="50">
        <f t="shared" ref="K54:K55" si="53">SUM(I54:J54)</f>
        <v>500000</v>
      </c>
      <c r="L54" s="50">
        <v>117275</v>
      </c>
      <c r="M54" s="50">
        <f>SUM(K54:L54)</f>
        <v>617275</v>
      </c>
      <c r="N54" s="116"/>
      <c r="O54" s="50">
        <v>0</v>
      </c>
      <c r="P54" s="50">
        <f t="shared" si="49"/>
        <v>617275</v>
      </c>
      <c r="Q54" s="125"/>
      <c r="R54" s="50">
        <f>164760+641275</f>
        <v>806035</v>
      </c>
      <c r="S54" s="50">
        <v>-69760</v>
      </c>
      <c r="T54" s="50">
        <f t="shared" si="50"/>
        <v>736275</v>
      </c>
      <c r="U54" s="39" t="s">
        <v>90</v>
      </c>
      <c r="V54" s="39"/>
      <c r="W54" s="40"/>
    </row>
    <row r="55" spans="2:23" ht="21" x14ac:dyDescent="0.35">
      <c r="B55" s="30"/>
      <c r="C55" s="30"/>
      <c r="D55" s="30" t="s">
        <v>93</v>
      </c>
      <c r="E55" s="30"/>
      <c r="F55" s="51"/>
      <c r="G55" s="46">
        <v>0</v>
      </c>
      <c r="H55" s="46">
        <v>0</v>
      </c>
      <c r="I55" s="46">
        <f t="shared" si="51"/>
        <v>0</v>
      </c>
      <c r="J55" s="46">
        <v>0</v>
      </c>
      <c r="K55" s="46">
        <f t="shared" si="53"/>
        <v>0</v>
      </c>
      <c r="L55" s="46">
        <v>0</v>
      </c>
      <c r="M55" s="46">
        <f>SUM(K55:L55)</f>
        <v>0</v>
      </c>
      <c r="N55" s="111"/>
      <c r="O55" s="46">
        <v>0</v>
      </c>
      <c r="P55" s="46">
        <f t="shared" si="49"/>
        <v>0</v>
      </c>
      <c r="Q55" s="124"/>
      <c r="R55" s="46">
        <v>0</v>
      </c>
      <c r="S55" s="46">
        <v>0</v>
      </c>
      <c r="T55" s="46">
        <f t="shared" si="50"/>
        <v>0</v>
      </c>
      <c r="U55" s="84"/>
      <c r="V55" s="84"/>
      <c r="W55" s="85"/>
    </row>
    <row r="56" spans="2:23" ht="21" x14ac:dyDescent="0.35">
      <c r="B56" s="78"/>
      <c r="C56" s="79"/>
      <c r="D56" s="79"/>
      <c r="E56" s="86" t="s">
        <v>94</v>
      </c>
      <c r="F56" s="32"/>
      <c r="G56" s="53">
        <f>SUM(G52:G55)</f>
        <v>9000000</v>
      </c>
      <c r="H56" s="53">
        <f>SUM(H52:H55)</f>
        <v>0</v>
      </c>
      <c r="I56" s="53">
        <f>SUM(I52:I55)</f>
        <v>9000000</v>
      </c>
      <c r="J56" s="53">
        <f>SUM(J52:J55)</f>
        <v>0</v>
      </c>
      <c r="K56" s="53">
        <f>SUM(K52:K55)</f>
        <v>9000000</v>
      </c>
      <c r="L56" s="53">
        <f>SUM(L52:L55)</f>
        <v>162441</v>
      </c>
      <c r="M56" s="53">
        <f>SUM(M52:M55)</f>
        <v>9162441</v>
      </c>
      <c r="N56" s="112">
        <v>9.1</v>
      </c>
      <c r="O56" s="53">
        <f>SUM(O52:O55)</f>
        <v>10000</v>
      </c>
      <c r="P56" s="53">
        <f>SUM(P52:P55)</f>
        <v>9172441</v>
      </c>
      <c r="Q56" s="126">
        <v>9.1</v>
      </c>
      <c r="R56" s="53">
        <f>SUM(R52:R55)</f>
        <v>9131354</v>
      </c>
      <c r="S56" s="53">
        <f>SUM(S52:S55)</f>
        <v>40240</v>
      </c>
      <c r="T56" s="53">
        <f>SUM(T52:T55)</f>
        <v>9171594</v>
      </c>
      <c r="U56" s="39"/>
      <c r="V56" s="39"/>
      <c r="W56" s="40"/>
    </row>
    <row r="57" spans="2:23" ht="21" x14ac:dyDescent="0.35">
      <c r="B57" s="77"/>
      <c r="C57" s="9" t="s">
        <v>95</v>
      </c>
      <c r="D57" s="30"/>
      <c r="E57" s="62"/>
      <c r="G57" s="46"/>
      <c r="H57" s="46"/>
      <c r="I57" s="46"/>
      <c r="J57" s="46"/>
      <c r="K57" s="46"/>
      <c r="L57" s="46"/>
      <c r="N57" s="111"/>
      <c r="O57" s="46"/>
      <c r="Q57" s="124"/>
      <c r="R57" s="46"/>
      <c r="S57" s="46"/>
      <c r="U57" s="39"/>
      <c r="V57" s="39"/>
      <c r="W57" s="40"/>
    </row>
    <row r="58" spans="2:23" ht="21" x14ac:dyDescent="0.35">
      <c r="B58" s="77"/>
      <c r="C58" s="30"/>
      <c r="D58" s="30"/>
      <c r="E58" s="30" t="s">
        <v>96</v>
      </c>
      <c r="F58" s="48"/>
      <c r="G58" s="46">
        <v>0</v>
      </c>
      <c r="H58" s="46">
        <v>0</v>
      </c>
      <c r="I58" s="46">
        <f t="shared" ref="I58:I60" si="54">SUM(G58:H58)</f>
        <v>0</v>
      </c>
      <c r="J58" s="46">
        <v>0</v>
      </c>
      <c r="K58" s="46">
        <f t="shared" ref="K58:K60" si="55">SUM(I58:J58)</f>
        <v>0</v>
      </c>
      <c r="L58" s="46">
        <v>0</v>
      </c>
      <c r="M58" s="46">
        <f>SUM(K58:L58)</f>
        <v>0</v>
      </c>
      <c r="N58" s="111"/>
      <c r="O58" s="46">
        <v>0</v>
      </c>
      <c r="P58" s="46">
        <f t="shared" ref="P58:P60" si="56">+M58+O58</f>
        <v>0</v>
      </c>
      <c r="Q58" s="124"/>
      <c r="R58" s="46">
        <v>0</v>
      </c>
      <c r="S58" s="46">
        <v>467748</v>
      </c>
      <c r="T58" s="46">
        <f t="shared" ref="T58:T59" si="57">SUM(R58:S58)</f>
        <v>467748</v>
      </c>
      <c r="U58" s="39" t="s">
        <v>90</v>
      </c>
      <c r="V58" s="39" t="s">
        <v>97</v>
      </c>
      <c r="W58" s="40">
        <v>467748</v>
      </c>
    </row>
    <row r="59" spans="2:23" ht="21" x14ac:dyDescent="0.35">
      <c r="B59" s="77"/>
      <c r="C59" s="30"/>
      <c r="D59" s="30"/>
      <c r="E59" s="30" t="s">
        <v>98</v>
      </c>
      <c r="F59" s="51" t="s">
        <v>99</v>
      </c>
      <c r="G59" s="46">
        <v>0</v>
      </c>
      <c r="H59" s="46">
        <v>0</v>
      </c>
      <c r="I59" s="46">
        <f t="shared" si="54"/>
        <v>0</v>
      </c>
      <c r="J59" s="46">
        <v>0</v>
      </c>
      <c r="K59" s="46">
        <f t="shared" si="55"/>
        <v>0</v>
      </c>
      <c r="L59" s="46">
        <v>0</v>
      </c>
      <c r="M59" s="46">
        <f>SUM(K59:L59)</f>
        <v>0</v>
      </c>
      <c r="N59" s="111"/>
      <c r="O59" s="46">
        <v>0</v>
      </c>
      <c r="P59" s="46">
        <f t="shared" si="56"/>
        <v>0</v>
      </c>
      <c r="Q59" s="124"/>
      <c r="R59" s="46">
        <v>0</v>
      </c>
      <c r="S59" s="46">
        <v>472000</v>
      </c>
      <c r="T59" s="46">
        <f t="shared" si="57"/>
        <v>472000</v>
      </c>
      <c r="U59" s="39" t="s">
        <v>90</v>
      </c>
      <c r="V59" s="39" t="s">
        <v>100</v>
      </c>
      <c r="W59" s="40">
        <v>472000</v>
      </c>
    </row>
    <row r="60" spans="2:23" ht="21" x14ac:dyDescent="0.35">
      <c r="B60" s="77"/>
      <c r="C60" s="30"/>
      <c r="D60" s="30" t="s">
        <v>101</v>
      </c>
      <c r="E60" s="77"/>
      <c r="F60" s="48" t="s">
        <v>102</v>
      </c>
      <c r="G60" s="87">
        <v>1517000</v>
      </c>
      <c r="H60" s="87">
        <v>0</v>
      </c>
      <c r="I60" s="87">
        <f t="shared" si="54"/>
        <v>1517000</v>
      </c>
      <c r="J60" s="87">
        <v>200000</v>
      </c>
      <c r="K60" s="87">
        <f t="shared" si="55"/>
        <v>1717000</v>
      </c>
      <c r="L60" s="87">
        <v>0</v>
      </c>
      <c r="M60" s="87">
        <f>SUM(K60:L60)</f>
        <v>1717000</v>
      </c>
      <c r="N60" s="117"/>
      <c r="O60" s="87">
        <v>0</v>
      </c>
      <c r="P60" s="87">
        <f t="shared" si="56"/>
        <v>1717000</v>
      </c>
      <c r="Q60" s="129"/>
      <c r="R60" s="87">
        <v>0</v>
      </c>
      <c r="S60" s="88">
        <f>350000+150000</f>
        <v>500000</v>
      </c>
      <c r="T60" s="87">
        <f>SUM(R60:S60)</f>
        <v>500000</v>
      </c>
      <c r="U60" s="39" t="s">
        <v>90</v>
      </c>
      <c r="V60" s="39"/>
      <c r="W60" s="40"/>
    </row>
    <row r="61" spans="2:23" ht="21" x14ac:dyDescent="0.35">
      <c r="B61" s="77"/>
      <c r="C61" s="30"/>
      <c r="D61" s="30" t="s">
        <v>103</v>
      </c>
      <c r="E61" s="77"/>
      <c r="F61" s="48" t="s">
        <v>102</v>
      </c>
      <c r="G61" s="46">
        <f>SUM(G58:G60)</f>
        <v>1517000</v>
      </c>
      <c r="H61" s="46">
        <f>SUM(H58:H60)</f>
        <v>0</v>
      </c>
      <c r="I61" s="46">
        <f>SUM(I58:I60)</f>
        <v>1517000</v>
      </c>
      <c r="J61" s="46">
        <f>SUM(J58:J60)</f>
        <v>200000</v>
      </c>
      <c r="K61" s="46">
        <f>SUM(K58:K60)</f>
        <v>1717000</v>
      </c>
      <c r="L61" s="46">
        <f>SUM(L58:L60)</f>
        <v>0</v>
      </c>
      <c r="M61" s="46">
        <f>SUM(M58:M60)</f>
        <v>1717000</v>
      </c>
      <c r="N61" s="111"/>
      <c r="O61" s="46">
        <f>SUM(O58:O60)</f>
        <v>0</v>
      </c>
      <c r="P61" s="46">
        <f t="shared" ref="P61:P62" si="58">+M61+O61</f>
        <v>1717000</v>
      </c>
      <c r="Q61" s="124"/>
      <c r="R61" s="46">
        <f>SUM(R58:R60)</f>
        <v>0</v>
      </c>
      <c r="S61" s="46">
        <f>SUM(S58:S60)</f>
        <v>1439748</v>
      </c>
      <c r="T61" s="46">
        <f>SUM(T58:T60)</f>
        <v>1439748</v>
      </c>
      <c r="U61" s="39" t="s">
        <v>90</v>
      </c>
      <c r="V61" s="39"/>
      <c r="W61" s="40"/>
    </row>
    <row r="62" spans="2:23" ht="21" x14ac:dyDescent="0.35">
      <c r="B62" s="77"/>
      <c r="C62" s="30"/>
      <c r="D62" s="30" t="s">
        <v>104</v>
      </c>
      <c r="E62" s="77"/>
      <c r="F62" s="47" t="s">
        <v>105</v>
      </c>
      <c r="G62" s="46">
        <v>883000</v>
      </c>
      <c r="H62" s="46">
        <v>0</v>
      </c>
      <c r="I62" s="46">
        <f>SUM(G62:H62)</f>
        <v>883000</v>
      </c>
      <c r="J62" s="46">
        <f>-733000</f>
        <v>-733000</v>
      </c>
      <c r="K62" s="46">
        <f>SUM(I62:J62)</f>
        <v>150000</v>
      </c>
      <c r="L62" s="46">
        <v>0</v>
      </c>
      <c r="M62" s="46">
        <f>SUM(K62:L62)</f>
        <v>150000</v>
      </c>
      <c r="N62" s="111"/>
      <c r="O62" s="46">
        <v>0</v>
      </c>
      <c r="P62" s="46">
        <f t="shared" si="58"/>
        <v>150000</v>
      </c>
      <c r="Q62" s="124"/>
      <c r="R62" s="46">
        <v>0</v>
      </c>
      <c r="S62" s="46">
        <v>0</v>
      </c>
      <c r="T62" s="46">
        <f>SUM(R62:S62)</f>
        <v>0</v>
      </c>
      <c r="U62" s="39" t="s">
        <v>90</v>
      </c>
      <c r="V62" s="39"/>
      <c r="W62" s="40"/>
    </row>
    <row r="63" spans="2:23" ht="21" x14ac:dyDescent="0.35">
      <c r="B63" s="79"/>
      <c r="C63" s="79"/>
      <c r="D63" s="79"/>
      <c r="E63" s="86" t="s">
        <v>106</v>
      </c>
      <c r="F63" s="32"/>
      <c r="G63" s="53">
        <f>SUM(G61:G62)</f>
        <v>2400000</v>
      </c>
      <c r="H63" s="53">
        <f>SUM(H61:H62)</f>
        <v>0</v>
      </c>
      <c r="I63" s="53">
        <f>SUM(I61:I62)</f>
        <v>2400000</v>
      </c>
      <c r="J63" s="53">
        <f>SUM(J61:J62)</f>
        <v>-533000</v>
      </c>
      <c r="K63" s="53">
        <f>SUM(K61:K62)</f>
        <v>1867000</v>
      </c>
      <c r="L63" s="53">
        <f>SUM(L61:L62)</f>
        <v>0</v>
      </c>
      <c r="M63" s="53">
        <f>SUM(M61:M62)</f>
        <v>1867000</v>
      </c>
      <c r="N63" s="112">
        <v>1.9</v>
      </c>
      <c r="O63" s="53">
        <f>SUM(O61:O62)</f>
        <v>0</v>
      </c>
      <c r="P63" s="53">
        <f>SUM(P61:P62)</f>
        <v>1867000</v>
      </c>
      <c r="Q63" s="126">
        <v>1.9</v>
      </c>
      <c r="R63" s="53">
        <f>SUM(R61:R62)</f>
        <v>0</v>
      </c>
      <c r="S63" s="53">
        <f>SUM(S61:S62)</f>
        <v>1439748</v>
      </c>
      <c r="T63" s="53">
        <f>SUM(T61:T62)</f>
        <v>1439748</v>
      </c>
      <c r="U63" s="39"/>
      <c r="V63" s="39"/>
      <c r="W63" s="40"/>
    </row>
    <row r="64" spans="2:23" ht="21" x14ac:dyDescent="0.35">
      <c r="B64" s="30"/>
      <c r="C64" s="9" t="s">
        <v>107</v>
      </c>
      <c r="D64" s="30"/>
      <c r="G64" s="46"/>
      <c r="H64" s="46"/>
      <c r="I64" s="46"/>
      <c r="J64" s="46"/>
      <c r="K64" s="46"/>
      <c r="L64" s="46"/>
      <c r="N64" s="111"/>
      <c r="O64" s="46"/>
      <c r="Q64" s="124"/>
      <c r="R64" s="46"/>
      <c r="S64" s="46"/>
      <c r="U64" s="39"/>
      <c r="V64" s="39"/>
      <c r="W64" s="40"/>
    </row>
    <row r="65" spans="2:23" ht="21" x14ac:dyDescent="0.35">
      <c r="B65" s="30"/>
      <c r="C65" s="30"/>
      <c r="D65" s="30" t="s">
        <v>108</v>
      </c>
      <c r="E65" s="30"/>
      <c r="G65" s="46">
        <v>0</v>
      </c>
      <c r="H65" s="46">
        <v>0</v>
      </c>
      <c r="I65" s="46">
        <f>SUM(G65:H65)</f>
        <v>0</v>
      </c>
      <c r="J65" s="46">
        <v>0</v>
      </c>
      <c r="K65" s="46">
        <f>SUM(I65:J65)</f>
        <v>0</v>
      </c>
      <c r="L65" s="46">
        <v>0</v>
      </c>
      <c r="M65" s="46">
        <f>SUM(K65:L65)</f>
        <v>0</v>
      </c>
      <c r="N65" s="111"/>
      <c r="O65" s="46">
        <v>0</v>
      </c>
      <c r="P65" s="46">
        <f t="shared" ref="P65" si="59">+M65+O65</f>
        <v>0</v>
      </c>
      <c r="Q65" s="124"/>
      <c r="R65" s="46">
        <v>0</v>
      </c>
      <c r="S65" s="46">
        <v>0</v>
      </c>
      <c r="T65" s="46">
        <f>SUM(R65:S65)</f>
        <v>0</v>
      </c>
      <c r="U65" s="39"/>
      <c r="V65" s="39"/>
      <c r="W65" s="40"/>
    </row>
    <row r="66" spans="2:23" ht="21" x14ac:dyDescent="0.35">
      <c r="B66" s="79"/>
      <c r="C66" s="79"/>
      <c r="D66" s="79"/>
      <c r="E66" s="52" t="s">
        <v>109</v>
      </c>
      <c r="F66" s="32"/>
      <c r="G66" s="53">
        <f>SUM(G65:G65)</f>
        <v>0</v>
      </c>
      <c r="H66" s="53">
        <f>SUM(H65:H65)</f>
        <v>0</v>
      </c>
      <c r="I66" s="53">
        <f>SUM(I65:I65)</f>
        <v>0</v>
      </c>
      <c r="J66" s="53">
        <f>SUM(J65:J65)</f>
        <v>0</v>
      </c>
      <c r="K66" s="53">
        <f>SUM(K65:K65)</f>
        <v>0</v>
      </c>
      <c r="L66" s="53">
        <f>SUM(L65:L65)</f>
        <v>0</v>
      </c>
      <c r="M66" s="53">
        <f>SUM(M65:M65)</f>
        <v>0</v>
      </c>
      <c r="N66" s="112"/>
      <c r="O66" s="53">
        <f>SUM(O65:O65)</f>
        <v>0</v>
      </c>
      <c r="P66" s="53">
        <f>SUM(P65:P65)</f>
        <v>0</v>
      </c>
      <c r="Q66" s="126"/>
      <c r="R66" s="53">
        <f>SUM(R65:R65)</f>
        <v>0</v>
      </c>
      <c r="S66" s="53">
        <f>SUM(S65:S65)</f>
        <v>0</v>
      </c>
      <c r="T66" s="53">
        <f>SUM(T65:T65)</f>
        <v>0</v>
      </c>
      <c r="U66" s="39"/>
      <c r="V66" s="39"/>
      <c r="W66" s="40"/>
    </row>
    <row r="67" spans="2:23" ht="26.45" customHeight="1" x14ac:dyDescent="0.35">
      <c r="B67" s="78"/>
      <c r="C67" s="79"/>
      <c r="D67" s="79"/>
      <c r="E67" s="57" t="s">
        <v>110</v>
      </c>
      <c r="F67" s="81"/>
      <c r="G67" s="53">
        <f>+G49+G50+G56+G63+G66</f>
        <v>30800000</v>
      </c>
      <c r="H67" s="53">
        <f>+H49+H50+H56+H63+H66</f>
        <v>0</v>
      </c>
      <c r="I67" s="53">
        <f>+I49+I50+I56+I63+I66</f>
        <v>30800000</v>
      </c>
      <c r="J67" s="53">
        <f>+J49+J50+J56+J63+J66</f>
        <v>-1381267</v>
      </c>
      <c r="K67" s="53">
        <f>+K49+K50+K56+K63+K66</f>
        <v>29418733</v>
      </c>
      <c r="L67" s="53">
        <f>+L49+L50+L56+L63+L66</f>
        <v>1062441</v>
      </c>
      <c r="M67" s="53">
        <f>+M49+M50+M56+M63+M66</f>
        <v>30481174</v>
      </c>
      <c r="N67" s="112">
        <f>+N49+N50+N56+N63+N66</f>
        <v>30.4</v>
      </c>
      <c r="O67" s="53">
        <f>+O49+O50+O56+O63+O66</f>
        <v>10000</v>
      </c>
      <c r="P67" s="53">
        <f>+P49+P50+P56+P63+P66</f>
        <v>30491174</v>
      </c>
      <c r="Q67" s="126">
        <f>+Q49+Q50+Q56+Q63+Q66</f>
        <v>30.4</v>
      </c>
      <c r="R67" s="53">
        <f>+R49+R50+R56+R63+R66</f>
        <v>28583087</v>
      </c>
      <c r="S67" s="53">
        <f>+S49+S50+S56+S63+S66</f>
        <v>2757776</v>
      </c>
      <c r="T67" s="53">
        <f>+T49+T50+T56+T63+T66</f>
        <v>31340863</v>
      </c>
      <c r="U67" s="39"/>
      <c r="V67" s="39"/>
      <c r="W67" s="40"/>
    </row>
    <row r="68" spans="2:23" ht="35.450000000000003" customHeight="1" x14ac:dyDescent="0.35">
      <c r="B68" s="29" t="s">
        <v>111</v>
      </c>
      <c r="E68" s="90"/>
      <c r="G68" s="46"/>
      <c r="H68" s="46"/>
      <c r="I68" s="46"/>
      <c r="J68" s="46"/>
      <c r="K68" s="46"/>
      <c r="L68" s="46"/>
      <c r="N68" s="111"/>
      <c r="O68" s="46"/>
      <c r="Q68" s="124"/>
      <c r="R68" s="46"/>
      <c r="S68" s="46"/>
      <c r="U68" s="39"/>
      <c r="V68" s="39"/>
      <c r="W68" s="40"/>
    </row>
    <row r="69" spans="2:23" ht="21" x14ac:dyDescent="0.35">
      <c r="B69" s="91"/>
      <c r="C69" s="14" t="s">
        <v>112</v>
      </c>
      <c r="E69" s="57"/>
      <c r="F69" s="48"/>
      <c r="G69" s="46">
        <v>2000000</v>
      </c>
      <c r="H69" s="46">
        <v>0</v>
      </c>
      <c r="I69" s="46">
        <f t="shared" ref="I69" si="60">SUM(G69:H69)</f>
        <v>2000000</v>
      </c>
      <c r="J69" s="46">
        <v>0</v>
      </c>
      <c r="K69" s="46">
        <f t="shared" ref="K69:K70" si="61">SUM(I69:J69)</f>
        <v>2000000</v>
      </c>
      <c r="L69" s="46">
        <v>0</v>
      </c>
      <c r="M69" s="46">
        <f>SUM(K69:L69)</f>
        <v>2000000</v>
      </c>
      <c r="N69" s="111"/>
      <c r="O69" s="46">
        <v>0</v>
      </c>
      <c r="P69" s="46">
        <f t="shared" ref="P69:P70" si="62">+M69+O69</f>
        <v>2000000</v>
      </c>
      <c r="Q69" s="124"/>
      <c r="R69" s="46">
        <v>5000000</v>
      </c>
      <c r="S69" s="46">
        <v>0</v>
      </c>
      <c r="T69" s="46">
        <f>SUM(R69:S69)</f>
        <v>5000000</v>
      </c>
      <c r="U69" s="39" t="s">
        <v>113</v>
      </c>
      <c r="V69" s="39" t="s">
        <v>114</v>
      </c>
      <c r="W69" s="40">
        <v>5000000</v>
      </c>
    </row>
    <row r="70" spans="2:23" ht="21" x14ac:dyDescent="0.35">
      <c r="B70" s="91"/>
      <c r="C70" s="30" t="s">
        <v>115</v>
      </c>
      <c r="E70" s="57"/>
      <c r="F70" s="48"/>
      <c r="G70" s="46">
        <v>0</v>
      </c>
      <c r="H70" s="46">
        <v>0</v>
      </c>
      <c r="I70" s="46">
        <f t="shared" ref="I70" si="63">SUM(G70:H70)</f>
        <v>0</v>
      </c>
      <c r="J70" s="46">
        <v>0</v>
      </c>
      <c r="K70" s="46">
        <f t="shared" si="61"/>
        <v>0</v>
      </c>
      <c r="L70" s="46">
        <v>0</v>
      </c>
      <c r="M70" s="46">
        <f>SUM(K70:L70)</f>
        <v>0</v>
      </c>
      <c r="N70" s="111"/>
      <c r="O70" s="46">
        <v>0</v>
      </c>
      <c r="P70" s="46">
        <f t="shared" si="62"/>
        <v>0</v>
      </c>
      <c r="Q70" s="124"/>
      <c r="R70" s="46">
        <v>0</v>
      </c>
      <c r="S70" s="46">
        <f>-2317536-510000</f>
        <v>-2827536</v>
      </c>
      <c r="T70" s="46">
        <f>SUM(R70:S70)</f>
        <v>-2827536</v>
      </c>
      <c r="U70" s="39" t="s">
        <v>113</v>
      </c>
      <c r="V70" s="39" t="s">
        <v>114</v>
      </c>
      <c r="W70" s="40">
        <f>-2317536</f>
        <v>-2317536</v>
      </c>
    </row>
    <row r="71" spans="2:23" ht="21" x14ac:dyDescent="0.35">
      <c r="B71" s="78"/>
      <c r="C71" s="79"/>
      <c r="D71" s="79"/>
      <c r="E71" s="57" t="s">
        <v>116</v>
      </c>
      <c r="F71" s="81"/>
      <c r="G71" s="53">
        <f>SUM(G69:G70)</f>
        <v>2000000</v>
      </c>
      <c r="H71" s="53">
        <f>SUM(H69:H70)</f>
        <v>0</v>
      </c>
      <c r="I71" s="53">
        <f>SUM(I69:I70)</f>
        <v>2000000</v>
      </c>
      <c r="J71" s="53">
        <f>SUM(J69:J70)</f>
        <v>0</v>
      </c>
      <c r="K71" s="53">
        <f>SUM(K69:K70)</f>
        <v>2000000</v>
      </c>
      <c r="L71" s="53">
        <f>SUM(L69:L70)</f>
        <v>0</v>
      </c>
      <c r="M71" s="53">
        <f>SUM(M69:M70)</f>
        <v>2000000</v>
      </c>
      <c r="N71" s="112">
        <v>2</v>
      </c>
      <c r="O71" s="53">
        <f>SUM(O69:O70)</f>
        <v>0</v>
      </c>
      <c r="P71" s="53">
        <f>SUM(P69:P70)</f>
        <v>2000000</v>
      </c>
      <c r="Q71" s="126">
        <v>2</v>
      </c>
      <c r="R71" s="53">
        <f>SUM(R69:R70)</f>
        <v>5000000</v>
      </c>
      <c r="S71" s="53">
        <f>SUM(S69:S70)</f>
        <v>-2827536</v>
      </c>
      <c r="T71" s="53">
        <f>SUM(T69:T70)</f>
        <v>2172464</v>
      </c>
      <c r="U71" s="39" t="s">
        <v>113</v>
      </c>
      <c r="V71" s="39" t="s">
        <v>114</v>
      </c>
      <c r="W71" s="53">
        <f>SUM(W69:W70)</f>
        <v>2682464</v>
      </c>
    </row>
    <row r="72" spans="2:23" ht="25.9" customHeight="1" x14ac:dyDescent="0.35">
      <c r="B72" s="29" t="s">
        <v>117</v>
      </c>
      <c r="E72" s="62"/>
      <c r="G72" s="46"/>
      <c r="H72" s="46"/>
      <c r="I72" s="46"/>
      <c r="J72" s="46"/>
      <c r="K72" s="46"/>
      <c r="L72" s="46"/>
      <c r="N72" s="111"/>
      <c r="O72" s="46"/>
      <c r="Q72" s="124"/>
      <c r="R72" s="46"/>
      <c r="S72" s="46"/>
      <c r="U72" s="39"/>
      <c r="V72" s="39"/>
      <c r="W72" s="40"/>
    </row>
    <row r="73" spans="2:23" ht="21" x14ac:dyDescent="0.35">
      <c r="C73" s="9" t="s">
        <v>118</v>
      </c>
      <c r="G73" s="46"/>
      <c r="H73" s="46"/>
      <c r="I73" s="46"/>
      <c r="J73" s="46"/>
      <c r="K73" s="46"/>
      <c r="L73" s="46"/>
      <c r="N73" s="111"/>
      <c r="O73" s="46"/>
      <c r="Q73" s="124"/>
      <c r="R73" s="46"/>
      <c r="S73" s="46"/>
      <c r="U73" s="39"/>
      <c r="V73" s="39"/>
      <c r="W73" s="40"/>
    </row>
    <row r="74" spans="2:23" ht="21" x14ac:dyDescent="0.35">
      <c r="D74" s="14" t="s">
        <v>119</v>
      </c>
      <c r="F74" s="48"/>
      <c r="G74" s="46">
        <f>1489364+ROUND(0.64*200000,0)</f>
        <v>1617364</v>
      </c>
      <c r="H74" s="46">
        <v>0</v>
      </c>
      <c r="I74" s="46">
        <f t="shared" ref="I74:I76" si="64">SUM(G74:H74)</f>
        <v>1617364</v>
      </c>
      <c r="J74" s="46">
        <v>1889246</v>
      </c>
      <c r="K74" s="46">
        <f t="shared" ref="K74:K76" si="65">SUM(I74:J74)</f>
        <v>3506610</v>
      </c>
      <c r="L74" s="46">
        <v>0</v>
      </c>
      <c r="M74" s="46">
        <f>SUM(K74:L74)</f>
        <v>3506610</v>
      </c>
      <c r="N74" s="111"/>
      <c r="O74" s="46">
        <v>0</v>
      </c>
      <c r="P74" s="46">
        <f t="shared" ref="P74" si="66">+M74+O74</f>
        <v>3506610</v>
      </c>
      <c r="Q74" s="124"/>
      <c r="R74" s="46">
        <v>1489364</v>
      </c>
      <c r="S74" s="46">
        <v>0</v>
      </c>
      <c r="T74" s="46">
        <f t="shared" ref="T74:T76" si="67">SUM(R74:S74)</f>
        <v>1489364</v>
      </c>
      <c r="U74" s="39" t="s">
        <v>120</v>
      </c>
      <c r="V74" s="39"/>
      <c r="W74" s="40"/>
    </row>
    <row r="75" spans="2:23" ht="21" x14ac:dyDescent="0.35">
      <c r="D75" s="14" t="s">
        <v>123</v>
      </c>
      <c r="F75" s="48"/>
      <c r="G75" s="46">
        <f>496221+ROUND(0.36*200000,0)</f>
        <v>568221</v>
      </c>
      <c r="H75" s="46">
        <v>0</v>
      </c>
      <c r="I75" s="46">
        <f t="shared" si="64"/>
        <v>568221</v>
      </c>
      <c r="J75" s="46">
        <v>618240</v>
      </c>
      <c r="K75" s="46">
        <f t="shared" si="65"/>
        <v>1186461</v>
      </c>
      <c r="L75" s="46">
        <v>0</v>
      </c>
      <c r="M75" s="46">
        <f>SUM(K75:L75)</f>
        <v>1186461</v>
      </c>
      <c r="N75" s="111"/>
      <c r="O75" s="46">
        <v>0</v>
      </c>
      <c r="P75" s="46">
        <f t="shared" ref="P75" si="68">+M75+O75</f>
        <v>1186461</v>
      </c>
      <c r="Q75" s="124"/>
      <c r="R75" s="46">
        <v>496221</v>
      </c>
      <c r="S75" s="46">
        <v>0</v>
      </c>
      <c r="T75" s="46">
        <f t="shared" si="67"/>
        <v>496221</v>
      </c>
      <c r="U75" s="39" t="s">
        <v>124</v>
      </c>
      <c r="V75" s="39"/>
      <c r="W75" s="40"/>
    </row>
    <row r="76" spans="2:23" ht="21" x14ac:dyDescent="0.35">
      <c r="D76" s="30" t="s">
        <v>125</v>
      </c>
      <c r="E76" s="30"/>
      <c r="F76" s="48"/>
      <c r="G76" s="87">
        <v>0</v>
      </c>
      <c r="H76" s="87">
        <v>0</v>
      </c>
      <c r="I76" s="87">
        <f t="shared" si="64"/>
        <v>0</v>
      </c>
      <c r="J76" s="87">
        <f>-1890275-356394</f>
        <v>-2246669</v>
      </c>
      <c r="K76" s="87">
        <f t="shared" si="65"/>
        <v>-2246669</v>
      </c>
      <c r="L76" s="87">
        <v>0</v>
      </c>
      <c r="M76" s="87">
        <f>SUM(K76:L76)</f>
        <v>-2246669</v>
      </c>
      <c r="N76" s="117"/>
      <c r="O76" s="87">
        <v>0</v>
      </c>
      <c r="P76" s="87">
        <f t="shared" ref="P76" si="69">+M76+O76</f>
        <v>-2246669</v>
      </c>
      <c r="Q76" s="129"/>
      <c r="R76" s="87">
        <v>0</v>
      </c>
      <c r="S76" s="87">
        <v>0</v>
      </c>
      <c r="T76" s="87">
        <f t="shared" si="67"/>
        <v>0</v>
      </c>
      <c r="U76" s="87"/>
      <c r="V76" s="87"/>
      <c r="W76" s="87">
        <f t="shared" ref="W76" si="70">SUM(U76:V76)</f>
        <v>0</v>
      </c>
    </row>
    <row r="77" spans="2:23" ht="21" x14ac:dyDescent="0.35">
      <c r="B77" s="78"/>
      <c r="C77" s="9" t="s">
        <v>126</v>
      </c>
      <c r="D77" s="79"/>
      <c r="E77" s="57"/>
      <c r="F77" s="48" t="s">
        <v>127</v>
      </c>
      <c r="G77" s="67">
        <f>SUM(G74:G76)</f>
        <v>2185585</v>
      </c>
      <c r="H77" s="67">
        <f>SUM(H74:H76)</f>
        <v>0</v>
      </c>
      <c r="I77" s="67">
        <f>SUM(I74:I76)</f>
        <v>2185585</v>
      </c>
      <c r="J77" s="67">
        <f>SUM(J74:J76)</f>
        <v>260817</v>
      </c>
      <c r="K77" s="67">
        <f>SUM(K74:K76)</f>
        <v>2446402</v>
      </c>
      <c r="L77" s="67">
        <f>SUM(L74:L76)</f>
        <v>0</v>
      </c>
      <c r="M77" s="67">
        <f>SUM(M74:M76)</f>
        <v>2446402</v>
      </c>
      <c r="N77" s="116"/>
      <c r="O77" s="67">
        <f>SUM(O74:O76)</f>
        <v>0</v>
      </c>
      <c r="P77" s="67">
        <f>SUM(P74:P76)</f>
        <v>2446402</v>
      </c>
      <c r="Q77" s="125"/>
      <c r="R77" s="67">
        <f>SUM(R74:R76)</f>
        <v>1985585</v>
      </c>
      <c r="S77" s="67">
        <f>SUM(S74:S76)</f>
        <v>0</v>
      </c>
      <c r="T77" s="67">
        <f>SUM(T74:T76)</f>
        <v>1985585</v>
      </c>
      <c r="U77" s="67"/>
      <c r="V77" s="67"/>
      <c r="W77" s="67">
        <f>SUM(W74:W76)</f>
        <v>0</v>
      </c>
    </row>
    <row r="78" spans="2:23" ht="21" x14ac:dyDescent="0.35">
      <c r="B78" s="62"/>
      <c r="C78" s="9" t="s">
        <v>128</v>
      </c>
      <c r="E78" s="62"/>
      <c r="G78" s="46"/>
      <c r="H78" s="46"/>
      <c r="I78" s="46"/>
      <c r="J78" s="46"/>
      <c r="K78" s="46"/>
      <c r="L78" s="46"/>
      <c r="N78" s="111"/>
      <c r="O78" s="46"/>
      <c r="Q78" s="124"/>
      <c r="R78" s="46"/>
      <c r="S78" s="46"/>
      <c r="U78" s="39"/>
      <c r="V78" s="39"/>
      <c r="W78" s="40"/>
    </row>
    <row r="79" spans="2:23" ht="21" x14ac:dyDescent="0.35">
      <c r="B79" s="62"/>
      <c r="D79" s="14" t="s">
        <v>129</v>
      </c>
      <c r="E79" s="62"/>
      <c r="F79" s="48"/>
      <c r="G79" s="46">
        <v>50000</v>
      </c>
      <c r="H79" s="46">
        <v>0</v>
      </c>
      <c r="I79" s="46">
        <f t="shared" ref="I79:I88" si="71">SUM(G79:H79)</f>
        <v>50000</v>
      </c>
      <c r="J79" s="46">
        <f>-30000</f>
        <v>-30000</v>
      </c>
      <c r="K79" s="46">
        <f t="shared" ref="K79:M91" si="72">SUM(I79:J79)</f>
        <v>20000</v>
      </c>
      <c r="L79" s="46">
        <v>0</v>
      </c>
      <c r="M79" s="46">
        <f>SUM(K79:L79)</f>
        <v>20000</v>
      </c>
      <c r="N79" s="111"/>
      <c r="O79" s="46">
        <v>0</v>
      </c>
      <c r="P79" s="108">
        <f t="shared" ref="P79:P80" si="73">+M79+O79</f>
        <v>20000</v>
      </c>
      <c r="Q79" s="124"/>
      <c r="R79" s="46">
        <v>50000</v>
      </c>
      <c r="S79" s="46">
        <v>0</v>
      </c>
      <c r="T79" s="108">
        <f t="shared" ref="T79:T88" si="74">SUM(R79:S79)</f>
        <v>50000</v>
      </c>
      <c r="U79" s="39" t="s">
        <v>130</v>
      </c>
      <c r="V79" s="39" t="s">
        <v>131</v>
      </c>
      <c r="W79" s="40">
        <v>50000</v>
      </c>
    </row>
    <row r="80" spans="2:23" ht="21" x14ac:dyDescent="0.35">
      <c r="B80" s="62"/>
      <c r="D80" s="14" t="s">
        <v>132</v>
      </c>
      <c r="E80" s="62"/>
      <c r="F80" s="48"/>
      <c r="G80" s="46">
        <v>410000</v>
      </c>
      <c r="H80" s="46">
        <v>0</v>
      </c>
      <c r="I80" s="46">
        <f t="shared" si="71"/>
        <v>410000</v>
      </c>
      <c r="J80" s="46">
        <f>-140000</f>
        <v>-140000</v>
      </c>
      <c r="K80" s="46">
        <f t="shared" si="72"/>
        <v>270000</v>
      </c>
      <c r="L80" s="46">
        <v>0</v>
      </c>
      <c r="M80" s="46">
        <f>SUM(K80:L80)</f>
        <v>270000</v>
      </c>
      <c r="N80" s="111"/>
      <c r="O80" s="46">
        <v>0</v>
      </c>
      <c r="P80" s="108">
        <f t="shared" si="73"/>
        <v>270000</v>
      </c>
      <c r="Q80" s="124"/>
      <c r="R80" s="46">
        <v>410000</v>
      </c>
      <c r="S80" s="46">
        <v>0</v>
      </c>
      <c r="T80" s="108">
        <f t="shared" si="74"/>
        <v>410000</v>
      </c>
      <c r="U80" s="39" t="s">
        <v>133</v>
      </c>
      <c r="V80" s="39"/>
      <c r="W80" s="40"/>
    </row>
    <row r="81" spans="2:23" ht="21" x14ac:dyDescent="0.35">
      <c r="B81" s="62"/>
      <c r="D81" s="14" t="s">
        <v>136</v>
      </c>
      <c r="E81" s="62"/>
      <c r="F81" s="48"/>
      <c r="G81" s="46">
        <v>123900</v>
      </c>
      <c r="H81" s="46">
        <v>0</v>
      </c>
      <c r="I81" s="46">
        <f t="shared" si="71"/>
        <v>123900</v>
      </c>
      <c r="J81" s="46">
        <f>-95000</f>
        <v>-95000</v>
      </c>
      <c r="K81" s="46">
        <f t="shared" si="72"/>
        <v>28900</v>
      </c>
      <c r="L81" s="46">
        <v>0</v>
      </c>
      <c r="M81" s="46">
        <f>SUM(K81:L81)</f>
        <v>28900</v>
      </c>
      <c r="N81" s="111"/>
      <c r="O81" s="46">
        <v>0</v>
      </c>
      <c r="P81" s="108">
        <f t="shared" ref="P81" si="75">+M81+O81</f>
        <v>28900</v>
      </c>
      <c r="Q81" s="124"/>
      <c r="R81" s="46">
        <v>123900</v>
      </c>
      <c r="S81" s="46">
        <v>69760</v>
      </c>
      <c r="T81" s="108">
        <f t="shared" si="74"/>
        <v>193660</v>
      </c>
      <c r="U81" s="39" t="s">
        <v>137</v>
      </c>
      <c r="V81" s="39"/>
      <c r="W81" s="40"/>
    </row>
    <row r="82" spans="2:23" ht="21" x14ac:dyDescent="0.35">
      <c r="B82" s="62"/>
      <c r="D82" s="14" t="s">
        <v>138</v>
      </c>
      <c r="E82" s="62"/>
      <c r="F82" s="48"/>
      <c r="G82" s="46">
        <v>50000</v>
      </c>
      <c r="H82" s="46">
        <v>0</v>
      </c>
      <c r="I82" s="46">
        <f t="shared" si="71"/>
        <v>50000</v>
      </c>
      <c r="J82" s="46">
        <f>-40000</f>
        <v>-40000</v>
      </c>
      <c r="K82" s="46">
        <f t="shared" si="72"/>
        <v>10000</v>
      </c>
      <c r="L82" s="46">
        <v>0</v>
      </c>
      <c r="M82" s="46">
        <f>SUM(K82:L82)</f>
        <v>10000</v>
      </c>
      <c r="N82" s="111"/>
      <c r="O82" s="46">
        <v>0</v>
      </c>
      <c r="P82" s="108">
        <f t="shared" ref="P82:P83" si="76">+M82+O82</f>
        <v>10000</v>
      </c>
      <c r="Q82" s="124"/>
      <c r="R82" s="46">
        <v>50000</v>
      </c>
      <c r="S82" s="46">
        <v>0</v>
      </c>
      <c r="T82" s="108">
        <f t="shared" si="74"/>
        <v>50000</v>
      </c>
      <c r="U82" s="39" t="s">
        <v>139</v>
      </c>
      <c r="V82" s="39" t="s">
        <v>122</v>
      </c>
      <c r="W82" s="40">
        <v>50000</v>
      </c>
    </row>
    <row r="83" spans="2:23" ht="21" x14ac:dyDescent="0.35">
      <c r="B83" s="62"/>
      <c r="D83" s="14" t="s">
        <v>140</v>
      </c>
      <c r="E83" s="62"/>
      <c r="F83" s="48"/>
      <c r="G83" s="46">
        <v>0</v>
      </c>
      <c r="H83" s="46">
        <v>0</v>
      </c>
      <c r="I83" s="46">
        <f t="shared" si="71"/>
        <v>0</v>
      </c>
      <c r="J83" s="46">
        <v>0</v>
      </c>
      <c r="K83" s="46">
        <f t="shared" si="72"/>
        <v>0</v>
      </c>
      <c r="L83" s="46">
        <v>0</v>
      </c>
      <c r="M83" s="46">
        <f>SUM(K83:L83)</f>
        <v>0</v>
      </c>
      <c r="N83" s="111"/>
      <c r="O83" s="46">
        <v>225000</v>
      </c>
      <c r="P83" s="108">
        <f t="shared" si="76"/>
        <v>225000</v>
      </c>
      <c r="Q83" s="124"/>
      <c r="R83" s="46">
        <v>0</v>
      </c>
      <c r="S83" s="46">
        <v>0</v>
      </c>
      <c r="T83" s="108">
        <f t="shared" si="74"/>
        <v>0</v>
      </c>
      <c r="U83" s="39"/>
      <c r="V83" s="39"/>
      <c r="W83" s="40"/>
    </row>
    <row r="84" spans="2:23" ht="21" x14ac:dyDescent="0.35">
      <c r="B84" s="62"/>
      <c r="D84" s="30" t="s">
        <v>278</v>
      </c>
      <c r="E84" s="62"/>
      <c r="F84" s="48"/>
      <c r="G84" s="108">
        <f>SUM(G79:G83)</f>
        <v>633900</v>
      </c>
      <c r="H84" s="108">
        <f>SUM(H79:H83)</f>
        <v>0</v>
      </c>
      <c r="I84" s="108">
        <f>SUM(I79:I83)</f>
        <v>633900</v>
      </c>
      <c r="J84" s="108">
        <f>SUM(J79:J83)</f>
        <v>-305000</v>
      </c>
      <c r="K84" s="108">
        <f>SUM(K79:K83)</f>
        <v>328900</v>
      </c>
      <c r="L84" s="108">
        <f>SUM(L79:L83)</f>
        <v>0</v>
      </c>
      <c r="M84" s="108">
        <f>SUM(M79:M83)</f>
        <v>328900</v>
      </c>
      <c r="N84" s="118"/>
      <c r="O84" s="108">
        <f>SUM(O79:O83)</f>
        <v>225000</v>
      </c>
      <c r="P84" s="108">
        <f>SUM(P79:P83)</f>
        <v>553900</v>
      </c>
      <c r="Q84" s="130"/>
      <c r="R84" s="108">
        <f>SUM(R79:R83)</f>
        <v>633900</v>
      </c>
      <c r="S84" s="108">
        <f>SUM(S79:S83)</f>
        <v>69760</v>
      </c>
      <c r="T84" s="108">
        <f>SUM(T79:T83)</f>
        <v>703660</v>
      </c>
      <c r="U84" s="109"/>
      <c r="V84" s="109"/>
      <c r="W84" s="110">
        <f>SUM(W79:W83)</f>
        <v>100000</v>
      </c>
    </row>
    <row r="85" spans="2:23" ht="21" x14ac:dyDescent="0.35">
      <c r="B85" s="62"/>
      <c r="D85" s="82" t="s">
        <v>142</v>
      </c>
      <c r="E85" s="62"/>
      <c r="F85" s="48"/>
      <c r="G85" s="46"/>
      <c r="H85" s="46"/>
      <c r="I85" s="46"/>
      <c r="J85" s="46"/>
      <c r="K85" s="46"/>
      <c r="L85" s="46"/>
      <c r="N85" s="111"/>
      <c r="O85" s="46"/>
      <c r="Q85" s="124"/>
      <c r="R85" s="46"/>
      <c r="S85" s="46"/>
      <c r="U85" s="39"/>
      <c r="V85" s="39"/>
      <c r="W85" s="40"/>
    </row>
    <row r="86" spans="2:23" ht="21" x14ac:dyDescent="0.35">
      <c r="B86" s="62"/>
      <c r="D86" s="92"/>
      <c r="E86" s="93" t="s">
        <v>143</v>
      </c>
      <c r="F86" s="39"/>
      <c r="G86" s="50">
        <v>6600</v>
      </c>
      <c r="H86" s="50">
        <v>0</v>
      </c>
      <c r="I86" s="46">
        <f t="shared" si="71"/>
        <v>6600</v>
      </c>
      <c r="J86" s="50">
        <v>15000</v>
      </c>
      <c r="K86" s="46">
        <f t="shared" si="72"/>
        <v>21600</v>
      </c>
      <c r="L86" s="50">
        <v>0</v>
      </c>
      <c r="M86" s="46">
        <f t="shared" si="72"/>
        <v>21600</v>
      </c>
      <c r="N86" s="116"/>
      <c r="O86" s="50">
        <v>0</v>
      </c>
      <c r="P86" s="46">
        <f t="shared" ref="P86:P88" si="77">+M86+O86</f>
        <v>21600</v>
      </c>
      <c r="Q86" s="125"/>
      <c r="R86" s="40">
        <v>6600</v>
      </c>
      <c r="S86" s="50">
        <v>0</v>
      </c>
      <c r="T86" s="46">
        <f t="shared" si="74"/>
        <v>6600</v>
      </c>
      <c r="U86" s="94" t="s">
        <v>144</v>
      </c>
      <c r="V86" s="39" t="s">
        <v>122</v>
      </c>
      <c r="W86" s="40">
        <v>6600</v>
      </c>
    </row>
    <row r="87" spans="2:23" ht="21" x14ac:dyDescent="0.35">
      <c r="B87" s="62"/>
      <c r="D87" s="92"/>
      <c r="E87" s="95" t="s">
        <v>145</v>
      </c>
      <c r="F87" s="39"/>
      <c r="G87" s="50">
        <v>2500</v>
      </c>
      <c r="H87" s="50">
        <v>0</v>
      </c>
      <c r="I87" s="46">
        <f t="shared" si="71"/>
        <v>2500</v>
      </c>
      <c r="J87" s="50">
        <v>0</v>
      </c>
      <c r="K87" s="46">
        <f t="shared" si="72"/>
        <v>2500</v>
      </c>
      <c r="L87" s="50">
        <v>0</v>
      </c>
      <c r="M87" s="46">
        <f t="shared" si="72"/>
        <v>2500</v>
      </c>
      <c r="N87" s="116"/>
      <c r="O87" s="50">
        <v>0</v>
      </c>
      <c r="P87" s="46">
        <f t="shared" si="77"/>
        <v>2500</v>
      </c>
      <c r="Q87" s="125"/>
      <c r="R87" s="40">
        <v>2500</v>
      </c>
      <c r="S87" s="50">
        <v>0</v>
      </c>
      <c r="T87" s="46">
        <f t="shared" si="74"/>
        <v>2500</v>
      </c>
      <c r="U87" s="94" t="s">
        <v>146</v>
      </c>
      <c r="V87" s="39" t="s">
        <v>122</v>
      </c>
      <c r="W87" s="40">
        <v>2500</v>
      </c>
    </row>
    <row r="88" spans="2:23" ht="21" x14ac:dyDescent="0.35">
      <c r="B88" s="62"/>
      <c r="D88" s="92"/>
      <c r="E88" s="95" t="s">
        <v>147</v>
      </c>
      <c r="F88" s="39"/>
      <c r="G88" s="50">
        <v>1440</v>
      </c>
      <c r="H88" s="50">
        <v>0</v>
      </c>
      <c r="I88" s="46">
        <f t="shared" si="71"/>
        <v>1440</v>
      </c>
      <c r="J88" s="50">
        <v>0</v>
      </c>
      <c r="K88" s="46">
        <f t="shared" si="72"/>
        <v>1440</v>
      </c>
      <c r="L88" s="50">
        <v>0</v>
      </c>
      <c r="M88" s="46">
        <f t="shared" si="72"/>
        <v>1440</v>
      </c>
      <c r="N88" s="116"/>
      <c r="O88" s="50">
        <v>0</v>
      </c>
      <c r="P88" s="46">
        <f t="shared" si="77"/>
        <v>1440</v>
      </c>
      <c r="Q88" s="125"/>
      <c r="R88" s="40">
        <v>1440</v>
      </c>
      <c r="S88" s="50">
        <v>0</v>
      </c>
      <c r="T88" s="46">
        <f t="shared" si="74"/>
        <v>1440</v>
      </c>
      <c r="U88" s="94" t="s">
        <v>148</v>
      </c>
      <c r="V88" s="39" t="s">
        <v>122</v>
      </c>
      <c r="W88" s="40">
        <v>1440</v>
      </c>
    </row>
    <row r="89" spans="2:23" ht="21" x14ac:dyDescent="0.35">
      <c r="B89" s="62"/>
      <c r="D89" s="14" t="s">
        <v>142</v>
      </c>
      <c r="E89" s="62"/>
      <c r="F89" s="48"/>
      <c r="G89" s="108">
        <f>SUM(G86:G88)</f>
        <v>10540</v>
      </c>
      <c r="H89" s="108">
        <f>SUM(H86:H88)</f>
        <v>0</v>
      </c>
      <c r="I89" s="108">
        <f>SUM(I86:I88)</f>
        <v>10540</v>
      </c>
      <c r="J89" s="108">
        <f t="shared" ref="J89:W89" si="78">SUM(J86:J88)</f>
        <v>15000</v>
      </c>
      <c r="K89" s="108">
        <f t="shared" si="78"/>
        <v>25540</v>
      </c>
      <c r="L89" s="108">
        <f t="shared" si="78"/>
        <v>0</v>
      </c>
      <c r="M89" s="108">
        <f t="shared" si="78"/>
        <v>25540</v>
      </c>
      <c r="N89" s="118"/>
      <c r="O89" s="108">
        <f t="shared" si="78"/>
        <v>0</v>
      </c>
      <c r="P89" s="108">
        <f t="shared" si="78"/>
        <v>25540</v>
      </c>
      <c r="Q89" s="130"/>
      <c r="R89" s="108">
        <f t="shared" si="78"/>
        <v>10540</v>
      </c>
      <c r="S89" s="108">
        <f t="shared" si="78"/>
        <v>0</v>
      </c>
      <c r="T89" s="108">
        <f t="shared" si="78"/>
        <v>10540</v>
      </c>
      <c r="U89" s="109"/>
      <c r="V89" s="109"/>
      <c r="W89" s="110">
        <f t="shared" si="78"/>
        <v>10540</v>
      </c>
    </row>
    <row r="90" spans="2:23" ht="21" x14ac:dyDescent="0.35">
      <c r="B90" s="62"/>
      <c r="D90" s="96" t="s">
        <v>149</v>
      </c>
      <c r="E90" s="97"/>
      <c r="F90" s="56"/>
      <c r="G90" s="50"/>
      <c r="H90" s="50"/>
      <c r="I90" s="50"/>
      <c r="J90" s="50"/>
      <c r="K90" s="50"/>
      <c r="L90" s="50"/>
      <c r="M90" s="50"/>
      <c r="N90" s="116"/>
      <c r="O90" s="50"/>
      <c r="P90" s="50"/>
      <c r="Q90" s="125"/>
      <c r="R90" s="50"/>
      <c r="S90" s="50"/>
      <c r="T90" s="50"/>
      <c r="U90" s="39"/>
      <c r="V90" s="39"/>
      <c r="W90" s="40"/>
    </row>
    <row r="91" spans="2:23" ht="21" x14ac:dyDescent="0.35">
      <c r="B91" s="62"/>
      <c r="D91" s="92"/>
      <c r="E91" s="95" t="s">
        <v>150</v>
      </c>
      <c r="F91" s="56"/>
      <c r="G91" s="50">
        <v>20075</v>
      </c>
      <c r="H91" s="50">
        <v>0</v>
      </c>
      <c r="I91" s="46">
        <f t="shared" ref="I91" si="79">SUM(G91:H91)</f>
        <v>20075</v>
      </c>
      <c r="J91" s="50">
        <v>0</v>
      </c>
      <c r="K91" s="46">
        <f t="shared" si="72"/>
        <v>20075</v>
      </c>
      <c r="L91" s="50">
        <v>0</v>
      </c>
      <c r="M91" s="46">
        <f t="shared" ref="M91" si="80">SUM(K91:L91)</f>
        <v>20075</v>
      </c>
      <c r="N91" s="116"/>
      <c r="O91" s="50">
        <v>0</v>
      </c>
      <c r="P91" s="46">
        <f t="shared" ref="P91" si="81">+M91+O91</f>
        <v>20075</v>
      </c>
      <c r="Q91" s="125"/>
      <c r="R91" s="40">
        <v>20075</v>
      </c>
      <c r="S91" s="50">
        <v>0</v>
      </c>
      <c r="T91" s="46">
        <f t="shared" ref="T91" si="82">SUM(R91:S91)</f>
        <v>20075</v>
      </c>
      <c r="U91" s="94" t="s">
        <v>151</v>
      </c>
      <c r="V91" s="39" t="s">
        <v>121</v>
      </c>
      <c r="W91" s="40">
        <v>643</v>
      </c>
    </row>
    <row r="92" spans="2:23" ht="21" x14ac:dyDescent="0.35">
      <c r="B92" s="62"/>
      <c r="D92" s="92"/>
      <c r="E92" s="95" t="s">
        <v>152</v>
      </c>
      <c r="F92" s="56"/>
      <c r="G92" s="50">
        <v>85000</v>
      </c>
      <c r="H92" s="50">
        <v>0</v>
      </c>
      <c r="I92" s="46">
        <f t="shared" ref="I92" si="83">SUM(G92:H92)</f>
        <v>85000</v>
      </c>
      <c r="J92" s="50">
        <v>0</v>
      </c>
      <c r="K92" s="46">
        <f t="shared" ref="K92" si="84">SUM(I92:J92)</f>
        <v>85000</v>
      </c>
      <c r="L92" s="50">
        <v>0</v>
      </c>
      <c r="M92" s="46">
        <f t="shared" ref="M92" si="85">SUM(K92:L92)</f>
        <v>85000</v>
      </c>
      <c r="N92" s="116"/>
      <c r="O92" s="50">
        <v>0</v>
      </c>
      <c r="P92" s="46">
        <f t="shared" ref="P92" si="86">+M92+O92</f>
        <v>85000</v>
      </c>
      <c r="Q92" s="125"/>
      <c r="R92" s="40">
        <v>85000</v>
      </c>
      <c r="S92" s="50">
        <v>0</v>
      </c>
      <c r="T92" s="46">
        <f t="shared" ref="T92" si="87">SUM(R92:S92)</f>
        <v>85000</v>
      </c>
      <c r="U92" s="94" t="s">
        <v>153</v>
      </c>
      <c r="V92" s="39" t="s">
        <v>121</v>
      </c>
      <c r="W92" s="40">
        <v>8000</v>
      </c>
    </row>
    <row r="93" spans="2:23" ht="21" x14ac:dyDescent="0.35">
      <c r="B93" s="62"/>
      <c r="D93" s="92"/>
      <c r="E93" s="95" t="s">
        <v>154</v>
      </c>
      <c r="F93" s="56"/>
      <c r="G93" s="50">
        <v>6000</v>
      </c>
      <c r="H93" s="50">
        <v>0</v>
      </c>
      <c r="I93" s="46">
        <f t="shared" ref="I93" si="88">SUM(G93:H93)</f>
        <v>6000</v>
      </c>
      <c r="J93" s="50">
        <v>0</v>
      </c>
      <c r="K93" s="46">
        <f t="shared" ref="K93" si="89">SUM(I93:J93)</f>
        <v>6000</v>
      </c>
      <c r="L93" s="50">
        <v>0</v>
      </c>
      <c r="M93" s="46">
        <f t="shared" ref="M93" si="90">SUM(K93:L93)</f>
        <v>6000</v>
      </c>
      <c r="N93" s="116"/>
      <c r="O93" s="50">
        <v>0</v>
      </c>
      <c r="P93" s="46">
        <f t="shared" ref="P93" si="91">+M93+O93</f>
        <v>6000</v>
      </c>
      <c r="Q93" s="125"/>
      <c r="R93" s="40">
        <v>6000</v>
      </c>
      <c r="S93" s="50">
        <v>0</v>
      </c>
      <c r="T93" s="46">
        <f t="shared" ref="T93" si="92">SUM(R93:S93)</f>
        <v>6000</v>
      </c>
      <c r="U93" s="94" t="s">
        <v>155</v>
      </c>
      <c r="V93" s="39" t="s">
        <v>122</v>
      </c>
      <c r="W93" s="40">
        <v>6000</v>
      </c>
    </row>
    <row r="94" spans="2:23" ht="21" x14ac:dyDescent="0.35">
      <c r="B94" s="62"/>
      <c r="D94" s="92" t="s">
        <v>149</v>
      </c>
      <c r="E94" s="62"/>
      <c r="F94" s="48"/>
      <c r="G94" s="108">
        <f>SUM(G91:G93)</f>
        <v>111075</v>
      </c>
      <c r="H94" s="108">
        <f>SUM(H91:H93)</f>
        <v>0</v>
      </c>
      <c r="I94" s="108">
        <f>SUM(I91:I93)</f>
        <v>111075</v>
      </c>
      <c r="J94" s="108">
        <f>SUM(J91:J93)</f>
        <v>0</v>
      </c>
      <c r="K94" s="108">
        <f>SUM(K91:K93)</f>
        <v>111075</v>
      </c>
      <c r="L94" s="108">
        <f>SUM(L91:L93)</f>
        <v>0</v>
      </c>
      <c r="M94" s="108">
        <f>SUM(M91:M93)</f>
        <v>111075</v>
      </c>
      <c r="N94" s="118"/>
      <c r="O94" s="108">
        <f>SUM(O91:O93)</f>
        <v>0</v>
      </c>
      <c r="P94" s="108">
        <f>SUM(P91:P93)</f>
        <v>111075</v>
      </c>
      <c r="Q94" s="130"/>
      <c r="R94" s="108">
        <f>SUM(R91:R93)</f>
        <v>111075</v>
      </c>
      <c r="S94" s="108">
        <f>SUM(S91:S93)</f>
        <v>0</v>
      </c>
      <c r="T94" s="108">
        <f>SUM(T91:T93)</f>
        <v>111075</v>
      </c>
      <c r="U94" s="109"/>
      <c r="V94" s="109"/>
      <c r="W94" s="110">
        <f>SUM(W91:W93)</f>
        <v>14643</v>
      </c>
    </row>
    <row r="95" spans="2:23" ht="21" x14ac:dyDescent="0.35">
      <c r="B95" s="62"/>
      <c r="D95" s="96" t="s">
        <v>156</v>
      </c>
      <c r="E95" s="97"/>
      <c r="F95" s="56"/>
      <c r="G95" s="50"/>
      <c r="H95" s="50"/>
      <c r="I95" s="50"/>
      <c r="J95" s="50"/>
      <c r="K95" s="50"/>
      <c r="L95" s="50"/>
      <c r="M95" s="50"/>
      <c r="N95" s="116"/>
      <c r="O95" s="50"/>
      <c r="P95" s="50"/>
      <c r="Q95" s="125"/>
      <c r="R95" s="50"/>
      <c r="S95" s="50"/>
      <c r="T95" s="50"/>
      <c r="U95" s="39"/>
      <c r="V95" s="39"/>
      <c r="W95" s="40"/>
    </row>
    <row r="96" spans="2:23" ht="21" x14ac:dyDescent="0.35">
      <c r="B96" s="62"/>
      <c r="D96" s="92"/>
      <c r="E96" s="95" t="s">
        <v>157</v>
      </c>
      <c r="F96" s="56"/>
      <c r="G96" s="50">
        <v>4855</v>
      </c>
      <c r="H96" s="50">
        <v>0</v>
      </c>
      <c r="I96" s="50">
        <f>SUM(G96:H96)</f>
        <v>4855</v>
      </c>
      <c r="J96" s="50">
        <v>0</v>
      </c>
      <c r="K96" s="50">
        <f>SUM(I96:J96)</f>
        <v>4855</v>
      </c>
      <c r="L96" s="50">
        <v>0</v>
      </c>
      <c r="M96" s="50">
        <f>SUM(K96:L96)</f>
        <v>4855</v>
      </c>
      <c r="N96" s="116"/>
      <c r="O96" s="50">
        <v>0</v>
      </c>
      <c r="P96" s="50">
        <f t="shared" ref="P96:P102" si="93">+M96+O96</f>
        <v>4855</v>
      </c>
      <c r="Q96" s="125"/>
      <c r="R96" s="40">
        <v>4855</v>
      </c>
      <c r="S96" s="50">
        <v>0</v>
      </c>
      <c r="T96" s="50">
        <f t="shared" ref="T96" si="94">SUM(R96:S96)</f>
        <v>4855</v>
      </c>
      <c r="U96" s="94" t="s">
        <v>158</v>
      </c>
      <c r="V96" s="39" t="s">
        <v>121</v>
      </c>
      <c r="W96" s="40">
        <v>250</v>
      </c>
    </row>
    <row r="97" spans="2:23" ht="21" x14ac:dyDescent="0.35">
      <c r="B97" s="62"/>
      <c r="D97" s="92"/>
      <c r="E97" s="95" t="s">
        <v>159</v>
      </c>
      <c r="F97" s="56"/>
      <c r="G97" s="50">
        <v>2820</v>
      </c>
      <c r="H97" s="50">
        <v>0</v>
      </c>
      <c r="I97" s="50">
        <f>SUM(G97:H97)</f>
        <v>2820</v>
      </c>
      <c r="J97" s="50">
        <v>0</v>
      </c>
      <c r="K97" s="50">
        <f>SUM(I97:J97)</f>
        <v>2820</v>
      </c>
      <c r="L97" s="50">
        <v>0</v>
      </c>
      <c r="M97" s="50">
        <f>SUM(K97:L97)</f>
        <v>2820</v>
      </c>
      <c r="N97" s="116"/>
      <c r="O97" s="50">
        <v>0</v>
      </c>
      <c r="P97" s="50">
        <f t="shared" si="93"/>
        <v>2820</v>
      </c>
      <c r="Q97" s="125"/>
      <c r="R97" s="40">
        <v>2820</v>
      </c>
      <c r="S97" s="50">
        <v>0</v>
      </c>
      <c r="T97" s="50">
        <f t="shared" ref="T97" si="95">SUM(R97:S97)</f>
        <v>2820</v>
      </c>
      <c r="U97" s="94" t="s">
        <v>160</v>
      </c>
      <c r="V97" s="39" t="s">
        <v>121</v>
      </c>
      <c r="W97" s="40">
        <v>2000</v>
      </c>
    </row>
    <row r="98" spans="2:23" ht="21" x14ac:dyDescent="0.35">
      <c r="B98" s="62"/>
      <c r="D98" s="92"/>
      <c r="E98" s="93" t="s">
        <v>161</v>
      </c>
      <c r="F98" s="56"/>
      <c r="G98" s="50">
        <v>1000</v>
      </c>
      <c r="H98" s="50">
        <v>0</v>
      </c>
      <c r="I98" s="50">
        <f t="shared" ref="I98:I100" si="96">SUM(G98:H98)</f>
        <v>1000</v>
      </c>
      <c r="J98" s="50">
        <v>0</v>
      </c>
      <c r="K98" s="50">
        <f t="shared" ref="K98:K100" si="97">SUM(I98:J98)</f>
        <v>1000</v>
      </c>
      <c r="L98" s="50">
        <v>0</v>
      </c>
      <c r="M98" s="50">
        <f t="shared" ref="M98:M100" si="98">SUM(K98:L98)</f>
        <v>1000</v>
      </c>
      <c r="N98" s="116"/>
      <c r="O98" s="50">
        <v>0</v>
      </c>
      <c r="P98" s="50">
        <f t="shared" si="93"/>
        <v>1000</v>
      </c>
      <c r="Q98" s="125"/>
      <c r="R98" s="40">
        <v>1000</v>
      </c>
      <c r="S98" s="50">
        <v>0</v>
      </c>
      <c r="T98" s="50">
        <f t="shared" ref="T98" si="99">SUM(R98:S98)</f>
        <v>1000</v>
      </c>
      <c r="U98" s="94" t="s">
        <v>162</v>
      </c>
      <c r="V98" s="39" t="s">
        <v>122</v>
      </c>
      <c r="W98" s="40">
        <v>1000</v>
      </c>
    </row>
    <row r="99" spans="2:23" ht="21" x14ac:dyDescent="0.35">
      <c r="B99" s="62"/>
      <c r="D99" s="92"/>
      <c r="E99" s="95" t="s">
        <v>163</v>
      </c>
      <c r="F99" s="56"/>
      <c r="G99" s="50">
        <v>1000</v>
      </c>
      <c r="H99" s="50">
        <v>0</v>
      </c>
      <c r="I99" s="50">
        <f t="shared" si="96"/>
        <v>1000</v>
      </c>
      <c r="J99" s="50">
        <v>0</v>
      </c>
      <c r="K99" s="50">
        <f t="shared" si="97"/>
        <v>1000</v>
      </c>
      <c r="L99" s="50">
        <v>0</v>
      </c>
      <c r="M99" s="50">
        <f t="shared" si="98"/>
        <v>1000</v>
      </c>
      <c r="N99" s="116"/>
      <c r="O99" s="50">
        <v>0</v>
      </c>
      <c r="P99" s="50">
        <f t="shared" si="93"/>
        <v>1000</v>
      </c>
      <c r="Q99" s="125"/>
      <c r="R99" s="40">
        <v>1000</v>
      </c>
      <c r="S99" s="50">
        <v>0</v>
      </c>
      <c r="T99" s="50">
        <f t="shared" ref="T99:T102" si="100">SUM(R99:S99)</f>
        <v>1000</v>
      </c>
      <c r="U99" s="94" t="s">
        <v>164</v>
      </c>
      <c r="V99" s="39" t="s">
        <v>121</v>
      </c>
      <c r="W99" s="40">
        <v>1000</v>
      </c>
    </row>
    <row r="100" spans="2:23" ht="21" x14ac:dyDescent="0.35">
      <c r="B100" s="62"/>
      <c r="D100" s="92"/>
      <c r="E100" s="95" t="s">
        <v>165</v>
      </c>
      <c r="F100" s="56"/>
      <c r="G100" s="50">
        <v>3408</v>
      </c>
      <c r="H100" s="50">
        <v>0</v>
      </c>
      <c r="I100" s="50">
        <f t="shared" si="96"/>
        <v>3408</v>
      </c>
      <c r="J100" s="50">
        <v>0</v>
      </c>
      <c r="K100" s="50">
        <f t="shared" si="97"/>
        <v>3408</v>
      </c>
      <c r="L100" s="50">
        <v>0</v>
      </c>
      <c r="M100" s="50">
        <f t="shared" si="98"/>
        <v>3408</v>
      </c>
      <c r="N100" s="116"/>
      <c r="O100" s="50">
        <v>0</v>
      </c>
      <c r="P100" s="50">
        <f t="shared" si="93"/>
        <v>3408</v>
      </c>
      <c r="Q100" s="125"/>
      <c r="R100" s="40">
        <v>3408</v>
      </c>
      <c r="S100" s="50">
        <v>0</v>
      </c>
      <c r="T100" s="50">
        <f t="shared" si="100"/>
        <v>3408</v>
      </c>
      <c r="U100" s="94" t="s">
        <v>166</v>
      </c>
      <c r="V100" s="39" t="s">
        <v>122</v>
      </c>
      <c r="W100" s="40">
        <v>300</v>
      </c>
    </row>
    <row r="101" spans="2:23" ht="21" x14ac:dyDescent="0.35">
      <c r="B101" s="62"/>
      <c r="D101" s="92"/>
      <c r="E101" s="93" t="s">
        <v>167</v>
      </c>
      <c r="F101" s="56"/>
      <c r="G101" s="50">
        <v>9200</v>
      </c>
      <c r="H101" s="50">
        <v>0</v>
      </c>
      <c r="I101" s="50">
        <f t="shared" ref="I101" si="101">SUM(G101:H101)</f>
        <v>9200</v>
      </c>
      <c r="J101" s="50">
        <f>-5283</f>
        <v>-5283</v>
      </c>
      <c r="K101" s="50">
        <f t="shared" ref="K101" si="102">SUM(I101:J101)</f>
        <v>3917</v>
      </c>
      <c r="L101" s="50">
        <v>0</v>
      </c>
      <c r="M101" s="50">
        <f t="shared" ref="M101" si="103">SUM(K101:L101)</f>
        <v>3917</v>
      </c>
      <c r="N101" s="116"/>
      <c r="O101" s="50">
        <v>0</v>
      </c>
      <c r="P101" s="50">
        <f t="shared" si="93"/>
        <v>3917</v>
      </c>
      <c r="Q101" s="125"/>
      <c r="R101" s="40">
        <v>9200</v>
      </c>
      <c r="S101" s="50">
        <v>0</v>
      </c>
      <c r="T101" s="50">
        <f t="shared" si="100"/>
        <v>9200</v>
      </c>
      <c r="U101" s="94" t="s">
        <v>168</v>
      </c>
      <c r="V101" s="39" t="s">
        <v>121</v>
      </c>
      <c r="W101" s="40">
        <v>4000</v>
      </c>
    </row>
    <row r="102" spans="2:23" ht="21" x14ac:dyDescent="0.35">
      <c r="B102" s="62"/>
      <c r="D102" s="92"/>
      <c r="E102" s="93" t="s">
        <v>169</v>
      </c>
      <c r="F102" s="56"/>
      <c r="G102" s="50">
        <v>1000</v>
      </c>
      <c r="H102" s="50">
        <v>0</v>
      </c>
      <c r="I102" s="50">
        <f t="shared" ref="I102" si="104">SUM(G102:H102)</f>
        <v>1000</v>
      </c>
      <c r="J102" s="50">
        <v>0</v>
      </c>
      <c r="K102" s="50">
        <f t="shared" ref="K102" si="105">SUM(I102:J102)</f>
        <v>1000</v>
      </c>
      <c r="L102" s="50">
        <v>0</v>
      </c>
      <c r="M102" s="50">
        <f t="shared" ref="M102" si="106">SUM(K102:L102)</f>
        <v>1000</v>
      </c>
      <c r="N102" s="116"/>
      <c r="O102" s="50">
        <v>0</v>
      </c>
      <c r="P102" s="50">
        <f t="shared" si="93"/>
        <v>1000</v>
      </c>
      <c r="Q102" s="125"/>
      <c r="R102" s="40">
        <v>1000</v>
      </c>
      <c r="S102" s="50">
        <v>0</v>
      </c>
      <c r="T102" s="50">
        <f t="shared" si="100"/>
        <v>1000</v>
      </c>
      <c r="U102" s="94" t="s">
        <v>170</v>
      </c>
      <c r="V102" s="39" t="s">
        <v>121</v>
      </c>
      <c r="W102" s="40">
        <v>1000</v>
      </c>
    </row>
    <row r="103" spans="2:23" ht="21" x14ac:dyDescent="0.35">
      <c r="B103" s="62"/>
      <c r="D103" s="92" t="s">
        <v>156</v>
      </c>
      <c r="E103" s="62"/>
      <c r="F103" s="48"/>
      <c r="G103" s="108">
        <f>SUM(G96:G102)</f>
        <v>23283</v>
      </c>
      <c r="H103" s="108">
        <f>SUM(H96:H102)</f>
        <v>0</v>
      </c>
      <c r="I103" s="108">
        <f>SUM(I96:I102)</f>
        <v>23283</v>
      </c>
      <c r="J103" s="108">
        <f>SUM(J96:J102)</f>
        <v>-5283</v>
      </c>
      <c r="K103" s="108">
        <f>SUM(K96:K102)</f>
        <v>18000</v>
      </c>
      <c r="L103" s="108">
        <f>SUM(L96:L102)</f>
        <v>0</v>
      </c>
      <c r="M103" s="108">
        <f>SUM(M96:M102)</f>
        <v>18000</v>
      </c>
      <c r="N103" s="118"/>
      <c r="O103" s="108">
        <f>SUM(O96:O102)</f>
        <v>0</v>
      </c>
      <c r="P103" s="108">
        <f>SUM(P96:P102)</f>
        <v>18000</v>
      </c>
      <c r="Q103" s="130"/>
      <c r="R103" s="108">
        <f>SUM(R96:R102)</f>
        <v>23283</v>
      </c>
      <c r="S103" s="108">
        <f>SUM(S96:S102)</f>
        <v>0</v>
      </c>
      <c r="T103" s="108">
        <f>SUM(T96:T102)</f>
        <v>23283</v>
      </c>
      <c r="U103" s="109"/>
      <c r="V103" s="109"/>
      <c r="W103" s="110">
        <f>SUM(W96:W102)</f>
        <v>9550</v>
      </c>
    </row>
    <row r="104" spans="2:23" ht="21" x14ac:dyDescent="0.35">
      <c r="B104" s="62"/>
      <c r="D104" s="98" t="s">
        <v>171</v>
      </c>
      <c r="E104" s="99"/>
      <c r="F104" s="56" t="s">
        <v>172</v>
      </c>
      <c r="G104" s="50"/>
      <c r="H104" s="50"/>
      <c r="I104" s="50"/>
      <c r="J104" s="50"/>
      <c r="K104" s="50"/>
      <c r="L104" s="50"/>
      <c r="M104" s="50"/>
      <c r="N104" s="116"/>
      <c r="O104" s="50"/>
      <c r="P104" s="50"/>
      <c r="Q104" s="125"/>
      <c r="R104" s="50"/>
      <c r="S104" s="50"/>
      <c r="T104" s="50"/>
      <c r="U104" s="39"/>
      <c r="V104" s="39"/>
      <c r="W104" s="40"/>
    </row>
    <row r="105" spans="2:23" ht="21" x14ac:dyDescent="0.35">
      <c r="B105" s="62"/>
      <c r="D105" s="92"/>
      <c r="E105" s="95" t="s">
        <v>173</v>
      </c>
      <c r="F105" s="56"/>
      <c r="G105" s="50">
        <v>9012</v>
      </c>
      <c r="H105" s="50">
        <v>0</v>
      </c>
      <c r="I105" s="50">
        <f t="shared" ref="I105:I107" si="107">SUM(G105:H105)</f>
        <v>9012</v>
      </c>
      <c r="J105" s="50">
        <v>0</v>
      </c>
      <c r="K105" s="50">
        <f t="shared" ref="K105" si="108">SUM(I105:J105)</f>
        <v>9012</v>
      </c>
      <c r="L105" s="50">
        <v>0</v>
      </c>
      <c r="M105" s="50">
        <f t="shared" ref="M105" si="109">SUM(K105:L105)</f>
        <v>9012</v>
      </c>
      <c r="N105" s="116"/>
      <c r="O105" s="50">
        <v>0</v>
      </c>
      <c r="P105" s="50">
        <f t="shared" ref="P105:P107" si="110">+M105+O105</f>
        <v>9012</v>
      </c>
      <c r="Q105" s="125"/>
      <c r="R105" s="40">
        <v>29740</v>
      </c>
      <c r="S105" s="50">
        <v>0</v>
      </c>
      <c r="T105" s="50">
        <f t="shared" ref="T105:T107" si="111">SUM(R105:S105)</f>
        <v>29740</v>
      </c>
      <c r="U105" s="94" t="s">
        <v>174</v>
      </c>
      <c r="V105" s="39" t="s">
        <v>121</v>
      </c>
      <c r="W105" s="40">
        <v>4740</v>
      </c>
    </row>
    <row r="106" spans="2:23" ht="21" x14ac:dyDescent="0.35">
      <c r="B106" s="62"/>
      <c r="D106" s="92"/>
      <c r="E106" s="95" t="s">
        <v>175</v>
      </c>
      <c r="F106" s="56"/>
      <c r="G106" s="50">
        <v>6334</v>
      </c>
      <c r="H106" s="50">
        <v>0</v>
      </c>
      <c r="I106" s="50">
        <f t="shared" si="107"/>
        <v>6334</v>
      </c>
      <c r="J106" s="50">
        <v>0</v>
      </c>
      <c r="K106" s="50">
        <f t="shared" ref="K106" si="112">SUM(I106:J106)</f>
        <v>6334</v>
      </c>
      <c r="L106" s="50">
        <v>0</v>
      </c>
      <c r="M106" s="50">
        <f t="shared" ref="M106" si="113">SUM(K106:L106)</f>
        <v>6334</v>
      </c>
      <c r="N106" s="116"/>
      <c r="O106" s="50">
        <v>0</v>
      </c>
      <c r="P106" s="50">
        <f t="shared" si="110"/>
        <v>6334</v>
      </c>
      <c r="Q106" s="125"/>
      <c r="R106" s="40">
        <v>9334</v>
      </c>
      <c r="S106" s="50">
        <v>0</v>
      </c>
      <c r="T106" s="50">
        <f t="shared" si="111"/>
        <v>9334</v>
      </c>
      <c r="U106" s="94" t="s">
        <v>176</v>
      </c>
      <c r="V106" s="39" t="s">
        <v>121</v>
      </c>
      <c r="W106" s="40">
        <v>1834</v>
      </c>
    </row>
    <row r="107" spans="2:23" ht="21" x14ac:dyDescent="0.35">
      <c r="B107" s="62"/>
      <c r="D107" s="92"/>
      <c r="E107" s="95" t="s">
        <v>177</v>
      </c>
      <c r="F107" s="56"/>
      <c r="G107" s="50">
        <v>2560</v>
      </c>
      <c r="H107" s="50">
        <v>0</v>
      </c>
      <c r="I107" s="50">
        <f t="shared" si="107"/>
        <v>2560</v>
      </c>
      <c r="J107" s="50">
        <v>0</v>
      </c>
      <c r="K107" s="50">
        <f t="shared" ref="K107" si="114">SUM(I107:J107)</f>
        <v>2560</v>
      </c>
      <c r="L107" s="50">
        <v>0</v>
      </c>
      <c r="M107" s="50">
        <f t="shared" ref="M107" si="115">SUM(K107:L107)</f>
        <v>2560</v>
      </c>
      <c r="N107" s="116"/>
      <c r="O107" s="50">
        <v>0</v>
      </c>
      <c r="P107" s="50">
        <f t="shared" si="110"/>
        <v>2560</v>
      </c>
      <c r="Q107" s="125"/>
      <c r="R107" s="40">
        <v>2560</v>
      </c>
      <c r="S107" s="50">
        <v>0</v>
      </c>
      <c r="T107" s="50">
        <f t="shared" si="111"/>
        <v>2560</v>
      </c>
      <c r="U107" s="94" t="s">
        <v>178</v>
      </c>
      <c r="V107" s="39" t="s">
        <v>121</v>
      </c>
      <c r="W107" s="40">
        <v>1000</v>
      </c>
    </row>
    <row r="108" spans="2:23" ht="21" x14ac:dyDescent="0.35">
      <c r="B108" s="62"/>
      <c r="D108" s="92" t="s">
        <v>171</v>
      </c>
      <c r="E108" s="62"/>
      <c r="F108" s="48"/>
      <c r="G108" s="108">
        <f>SUM(G105:G107)</f>
        <v>17906</v>
      </c>
      <c r="H108" s="108">
        <f>SUM(H105:H107)</f>
        <v>0</v>
      </c>
      <c r="I108" s="108">
        <f>SUM(I105:I107)</f>
        <v>17906</v>
      </c>
      <c r="J108" s="108">
        <f>SUM(J105:J107)</f>
        <v>0</v>
      </c>
      <c r="K108" s="108">
        <f>SUM(K105:K107)</f>
        <v>17906</v>
      </c>
      <c r="L108" s="108">
        <f>SUM(L105:L107)</f>
        <v>0</v>
      </c>
      <c r="M108" s="108">
        <f>SUM(M105:M107)</f>
        <v>17906</v>
      </c>
      <c r="N108" s="118"/>
      <c r="O108" s="108">
        <f>SUM(O105:O107)</f>
        <v>0</v>
      </c>
      <c r="P108" s="108">
        <f>SUM(P105:P107)</f>
        <v>17906</v>
      </c>
      <c r="Q108" s="130"/>
      <c r="R108" s="108">
        <f>SUM(R105:R107)</f>
        <v>41634</v>
      </c>
      <c r="S108" s="108">
        <f>SUM(S105:S107)</f>
        <v>0</v>
      </c>
      <c r="T108" s="108">
        <f>SUM(T105:T107)</f>
        <v>41634</v>
      </c>
      <c r="U108" s="109"/>
      <c r="V108" s="109"/>
      <c r="W108" s="110">
        <f>SUM(W105:W107)</f>
        <v>7574</v>
      </c>
    </row>
    <row r="109" spans="2:23" ht="21" x14ac:dyDescent="0.35">
      <c r="B109" s="78"/>
      <c r="C109" s="79"/>
      <c r="D109" s="79"/>
      <c r="E109" s="86" t="s">
        <v>179</v>
      </c>
      <c r="F109" s="47" t="s">
        <v>180</v>
      </c>
      <c r="G109" s="67">
        <f>+G84+G89+G94+G103+G108</f>
        <v>796704</v>
      </c>
      <c r="H109" s="67">
        <f>+H84+H89+H94+H103+H108</f>
        <v>0</v>
      </c>
      <c r="I109" s="67">
        <f>+I84+I89+I94+I103+I108</f>
        <v>796704</v>
      </c>
      <c r="J109" s="67">
        <f>+J84+J89+J94+J103+J108</f>
        <v>-295283</v>
      </c>
      <c r="K109" s="67">
        <f>+K84+K89+K94+K103+K108</f>
        <v>501421</v>
      </c>
      <c r="L109" s="67">
        <f>+L84+L89+L94+L103+L108</f>
        <v>0</v>
      </c>
      <c r="M109" s="67">
        <f>+M84+M89+M94+M103+M108</f>
        <v>501421</v>
      </c>
      <c r="N109" s="116"/>
      <c r="O109" s="67">
        <f>+O84+O89+O94+O103+O108</f>
        <v>225000</v>
      </c>
      <c r="P109" s="67">
        <f>+P84+P89+P94+P103+P108</f>
        <v>726421</v>
      </c>
      <c r="Q109" s="125"/>
      <c r="R109" s="67">
        <f>+R84+R89+R94+R103+R108</f>
        <v>820432</v>
      </c>
      <c r="S109" s="67">
        <f>+S84+S89+S94+S103+S108</f>
        <v>69760</v>
      </c>
      <c r="T109" s="67">
        <f>+T84+T89+T94+T103+T108</f>
        <v>890192</v>
      </c>
      <c r="U109" s="67"/>
      <c r="V109" s="67"/>
      <c r="W109" s="67">
        <f>+W84+W89+W94+W103+W108</f>
        <v>142307</v>
      </c>
    </row>
    <row r="110" spans="2:23" ht="24.6" customHeight="1" x14ac:dyDescent="0.35">
      <c r="B110" s="78"/>
      <c r="C110" s="79"/>
      <c r="D110" s="79"/>
      <c r="E110" s="57" t="s">
        <v>181</v>
      </c>
      <c r="F110" s="48"/>
      <c r="G110" s="53">
        <f>+G77+G109</f>
        <v>2982289</v>
      </c>
      <c r="H110" s="53">
        <f>+H77+H109</f>
        <v>0</v>
      </c>
      <c r="I110" s="53">
        <f>+I77+I109</f>
        <v>2982289</v>
      </c>
      <c r="J110" s="53">
        <f>+J77+J109</f>
        <v>-34466</v>
      </c>
      <c r="K110" s="53">
        <f>+K77+K109</f>
        <v>2947823</v>
      </c>
      <c r="L110" s="53">
        <f>+L77+L109</f>
        <v>0</v>
      </c>
      <c r="M110" s="53">
        <f>+M77+M109</f>
        <v>2947823</v>
      </c>
      <c r="N110" s="112">
        <v>3</v>
      </c>
      <c r="O110" s="53">
        <f>+O77+O109</f>
        <v>225000</v>
      </c>
      <c r="P110" s="53">
        <f>+P77+P109</f>
        <v>3172823</v>
      </c>
      <c r="Q110" s="126">
        <v>3</v>
      </c>
      <c r="R110" s="53">
        <f>+R77+R109</f>
        <v>2806017</v>
      </c>
      <c r="S110" s="53">
        <f>+S77+S109</f>
        <v>69760</v>
      </c>
      <c r="T110" s="53">
        <f>+T77+T109</f>
        <v>2875777</v>
      </c>
      <c r="U110" s="53"/>
      <c r="V110" s="53"/>
      <c r="W110" s="53">
        <f>+W77+W109</f>
        <v>142307</v>
      </c>
    </row>
    <row r="111" spans="2:23" ht="37.9" customHeight="1" x14ac:dyDescent="0.35">
      <c r="B111" s="29" t="s">
        <v>182</v>
      </c>
      <c r="C111" s="30"/>
      <c r="D111" s="30"/>
      <c r="E111" s="62"/>
      <c r="G111" s="46"/>
      <c r="H111" s="46"/>
      <c r="I111" s="46"/>
      <c r="J111" s="46"/>
      <c r="K111" s="46"/>
      <c r="L111" s="46"/>
      <c r="N111" s="111"/>
      <c r="O111" s="46"/>
      <c r="Q111" s="124"/>
      <c r="R111" s="46"/>
      <c r="S111" s="46"/>
      <c r="U111" s="39"/>
      <c r="V111" s="39"/>
      <c r="W111" s="40"/>
    </row>
    <row r="112" spans="2:23" ht="21" x14ac:dyDescent="0.35">
      <c r="B112" s="77"/>
      <c r="C112" s="30" t="s">
        <v>183</v>
      </c>
      <c r="D112" s="30"/>
      <c r="E112" s="77"/>
      <c r="F112" s="48" t="s">
        <v>184</v>
      </c>
      <c r="G112" s="46">
        <v>10500000</v>
      </c>
      <c r="H112" s="46">
        <v>0</v>
      </c>
      <c r="I112" s="46">
        <f>SUM(G112:H112)</f>
        <v>10500000</v>
      </c>
      <c r="J112" s="46">
        <v>800000</v>
      </c>
      <c r="K112" s="46">
        <f>SUM(I112:J112)</f>
        <v>11300000</v>
      </c>
      <c r="L112" s="46">
        <v>0</v>
      </c>
      <c r="M112" s="46">
        <f>SUM(K112:L112)</f>
        <v>11300000</v>
      </c>
      <c r="N112" s="111">
        <v>11.3</v>
      </c>
      <c r="O112" s="46">
        <v>0</v>
      </c>
      <c r="P112" s="46">
        <f t="shared" ref="P112:P114" si="116">+M112+O112</f>
        <v>11300000</v>
      </c>
      <c r="Q112" s="124">
        <v>11.3</v>
      </c>
      <c r="R112" s="46">
        <v>4500000</v>
      </c>
      <c r="S112" s="46">
        <v>0</v>
      </c>
      <c r="T112" s="46">
        <f>SUM(R112:S112)</f>
        <v>4500000</v>
      </c>
      <c r="U112" s="39"/>
      <c r="V112" s="39"/>
      <c r="W112" s="40">
        <v>4500000</v>
      </c>
    </row>
    <row r="113" spans="2:23" ht="21" x14ac:dyDescent="0.35">
      <c r="B113" s="62"/>
      <c r="C113" s="14" t="s">
        <v>185</v>
      </c>
      <c r="E113" s="62"/>
      <c r="F113" s="48" t="s">
        <v>186</v>
      </c>
      <c r="G113" s="46">
        <v>8800000</v>
      </c>
      <c r="H113" s="46">
        <f>-4000000</f>
        <v>-4000000</v>
      </c>
      <c r="I113" s="46">
        <f>SUM(G113:H113)</f>
        <v>4800000</v>
      </c>
      <c r="J113" s="46">
        <f>12000000+83000</f>
        <v>12083000</v>
      </c>
      <c r="K113" s="46">
        <f>SUM(I113:J113)</f>
        <v>16883000</v>
      </c>
      <c r="L113" s="46">
        <v>0</v>
      </c>
      <c r="M113" s="46">
        <f>SUM(K113:L113)</f>
        <v>16883000</v>
      </c>
      <c r="N113" s="111">
        <v>16.8</v>
      </c>
      <c r="O113" s="46">
        <v>0</v>
      </c>
      <c r="P113" s="46">
        <f t="shared" si="116"/>
        <v>16883000</v>
      </c>
      <c r="Q113" s="124">
        <v>16.8</v>
      </c>
      <c r="R113" s="46">
        <v>2200000</v>
      </c>
      <c r="S113" s="46">
        <v>8000000</v>
      </c>
      <c r="T113" s="46">
        <f>SUM(R113:S113)</f>
        <v>10200000</v>
      </c>
      <c r="U113" s="39"/>
      <c r="V113" s="39"/>
      <c r="W113" s="40">
        <v>10200000</v>
      </c>
    </row>
    <row r="114" spans="2:23" ht="21" x14ac:dyDescent="0.35">
      <c r="B114" s="62"/>
      <c r="C114" s="14" t="s">
        <v>39</v>
      </c>
      <c r="E114" s="62"/>
      <c r="F114" s="48" t="s">
        <v>187</v>
      </c>
      <c r="G114" s="46">
        <v>80800000</v>
      </c>
      <c r="H114" s="46">
        <v>0</v>
      </c>
      <c r="I114" s="46">
        <f t="shared" ref="I114" si="117">SUM(G114:H114)</f>
        <v>80800000</v>
      </c>
      <c r="J114" s="46">
        <v>0</v>
      </c>
      <c r="K114" s="46">
        <f t="shared" ref="K114" si="118">SUM(I114:J114)</f>
        <v>80800000</v>
      </c>
      <c r="L114" s="46">
        <f>-2000000</f>
        <v>-2000000</v>
      </c>
      <c r="M114" s="46">
        <f>SUM(K114:L114)</f>
        <v>78800000</v>
      </c>
      <c r="N114" s="111">
        <v>78.8</v>
      </c>
      <c r="O114" s="46">
        <f>-2320000</f>
        <v>-2320000</v>
      </c>
      <c r="P114" s="46">
        <f t="shared" si="116"/>
        <v>76480000</v>
      </c>
      <c r="Q114" s="124">
        <v>76.5</v>
      </c>
      <c r="R114" s="46">
        <v>43851652</v>
      </c>
      <c r="S114" s="46">
        <v>0</v>
      </c>
      <c r="T114" s="46">
        <f t="shared" ref="T114" si="119">SUM(R114:S114)</f>
        <v>43851652</v>
      </c>
      <c r="U114" s="39"/>
      <c r="V114" s="39"/>
      <c r="W114" s="40">
        <v>43851652</v>
      </c>
    </row>
    <row r="115" spans="2:23" ht="21" x14ac:dyDescent="0.35">
      <c r="B115" s="78"/>
      <c r="C115" s="79"/>
      <c r="D115" s="79"/>
      <c r="E115" s="57" t="s">
        <v>188</v>
      </c>
      <c r="F115" s="32"/>
      <c r="G115" s="53">
        <f>SUM(G112:G114)</f>
        <v>100100000</v>
      </c>
      <c r="H115" s="53">
        <f>SUM(H112:H114)</f>
        <v>-4000000</v>
      </c>
      <c r="I115" s="53">
        <f>SUM(I112:I114)</f>
        <v>96100000</v>
      </c>
      <c r="J115" s="53">
        <f>SUM(J112:J114)</f>
        <v>12883000</v>
      </c>
      <c r="K115" s="53">
        <f>SUM(K112:K114)</f>
        <v>108983000</v>
      </c>
      <c r="L115" s="53">
        <f>SUM(L112:L114)</f>
        <v>-2000000</v>
      </c>
      <c r="M115" s="53">
        <f>SUM(M112:M114)</f>
        <v>106983000</v>
      </c>
      <c r="N115" s="112">
        <f>SUM(N112:N114)</f>
        <v>106.9</v>
      </c>
      <c r="O115" s="53">
        <f>SUM(O112:O114)</f>
        <v>-2320000</v>
      </c>
      <c r="P115" s="53">
        <f>SUM(P112:P114)</f>
        <v>104663000</v>
      </c>
      <c r="Q115" s="126">
        <f>SUM(Q112:Q114)</f>
        <v>104.6</v>
      </c>
      <c r="R115" s="53">
        <f>SUM(R112:R114)</f>
        <v>50551652</v>
      </c>
      <c r="S115" s="53">
        <f>SUM(S112:S114)</f>
        <v>8000000</v>
      </c>
      <c r="T115" s="53">
        <f>SUM(T112:T114)</f>
        <v>58551652</v>
      </c>
      <c r="U115" s="53"/>
      <c r="V115" s="53"/>
      <c r="W115" s="53">
        <f>SUM(W112:W114)</f>
        <v>58551652</v>
      </c>
    </row>
    <row r="116" spans="2:23" ht="36" customHeight="1" x14ac:dyDescent="0.35">
      <c r="B116" s="100" t="s">
        <v>189</v>
      </c>
      <c r="C116" s="101"/>
      <c r="D116" s="101"/>
      <c r="E116" s="102"/>
      <c r="G116" s="46"/>
      <c r="H116" s="46"/>
      <c r="I116" s="46"/>
      <c r="J116" s="46"/>
      <c r="K116" s="46"/>
      <c r="L116" s="46"/>
      <c r="N116" s="111"/>
      <c r="O116" s="46"/>
      <c r="Q116" s="124"/>
      <c r="R116" s="46"/>
      <c r="S116" s="46"/>
      <c r="U116" s="39"/>
      <c r="V116" s="39"/>
      <c r="W116" s="40"/>
    </row>
    <row r="117" spans="2:23" ht="21" x14ac:dyDescent="0.35">
      <c r="B117" s="62"/>
      <c r="C117" s="30" t="s">
        <v>190</v>
      </c>
      <c r="E117" s="77"/>
      <c r="F117" s="48" t="s">
        <v>191</v>
      </c>
      <c r="G117" s="46">
        <v>925000</v>
      </c>
      <c r="H117" s="46">
        <v>0</v>
      </c>
      <c r="I117" s="46">
        <f t="shared" ref="I117:I118" si="120">SUM(G117:H117)</f>
        <v>925000</v>
      </c>
      <c r="J117" s="46">
        <v>10000</v>
      </c>
      <c r="K117" s="46">
        <f t="shared" ref="K117:K118" si="121">SUM(I117:J117)</f>
        <v>935000</v>
      </c>
      <c r="L117" s="46">
        <v>0</v>
      </c>
      <c r="M117" s="46">
        <f>SUM(K117:L117)</f>
        <v>935000</v>
      </c>
      <c r="N117" s="111"/>
      <c r="O117" s="46">
        <v>0</v>
      </c>
      <c r="P117" s="46">
        <f t="shared" ref="P117:P118" si="122">+M117+O117</f>
        <v>935000</v>
      </c>
      <c r="Q117" s="124"/>
      <c r="R117" s="46">
        <v>920000</v>
      </c>
      <c r="S117" s="46">
        <v>0</v>
      </c>
      <c r="T117" s="46">
        <f t="shared" si="50"/>
        <v>920000</v>
      </c>
      <c r="U117" s="39"/>
      <c r="V117" s="39"/>
      <c r="W117" s="40">
        <v>920000</v>
      </c>
    </row>
    <row r="118" spans="2:23" ht="21" x14ac:dyDescent="0.35">
      <c r="B118" s="62"/>
      <c r="C118" s="14" t="s">
        <v>192</v>
      </c>
      <c r="E118" s="62"/>
      <c r="F118" s="48" t="s">
        <v>193</v>
      </c>
      <c r="G118" s="46">
        <v>375000</v>
      </c>
      <c r="H118" s="46">
        <v>0</v>
      </c>
      <c r="I118" s="46">
        <f t="shared" si="120"/>
        <v>375000</v>
      </c>
      <c r="J118" s="46">
        <f>436207-375000</f>
        <v>61207</v>
      </c>
      <c r="K118" s="46">
        <f t="shared" si="121"/>
        <v>436207</v>
      </c>
      <c r="L118" s="46">
        <v>0</v>
      </c>
      <c r="M118" s="46">
        <f>SUM(K118:L118)</f>
        <v>436207</v>
      </c>
      <c r="N118" s="111"/>
      <c r="O118" s="46">
        <v>0</v>
      </c>
      <c r="P118" s="46">
        <f t="shared" si="122"/>
        <v>436207</v>
      </c>
      <c r="Q118" s="124"/>
      <c r="R118" s="46">
        <v>449949</v>
      </c>
      <c r="S118" s="46">
        <v>0</v>
      </c>
      <c r="T118" s="46">
        <f t="shared" si="50"/>
        <v>449949</v>
      </c>
      <c r="U118" s="39" t="s">
        <v>194</v>
      </c>
      <c r="V118" s="39" t="s">
        <v>195</v>
      </c>
      <c r="W118" s="40">
        <v>449949</v>
      </c>
    </row>
    <row r="119" spans="2:23" ht="21" x14ac:dyDescent="0.35">
      <c r="B119" s="78"/>
      <c r="C119" s="79"/>
      <c r="D119" s="79"/>
      <c r="E119" s="57" t="s">
        <v>196</v>
      </c>
      <c r="F119" s="32"/>
      <c r="G119" s="53">
        <f>SUM(G117:G118)</f>
        <v>1300000</v>
      </c>
      <c r="H119" s="53">
        <f t="shared" ref="H119:W119" si="123">SUM(H117:H118)</f>
        <v>0</v>
      </c>
      <c r="I119" s="53">
        <f t="shared" si="123"/>
        <v>1300000</v>
      </c>
      <c r="J119" s="53">
        <f t="shared" si="123"/>
        <v>71207</v>
      </c>
      <c r="K119" s="53">
        <f t="shared" si="123"/>
        <v>1371207</v>
      </c>
      <c r="L119" s="53">
        <f t="shared" si="123"/>
        <v>0</v>
      </c>
      <c r="M119" s="53">
        <f t="shared" si="123"/>
        <v>1371207</v>
      </c>
      <c r="N119" s="112">
        <v>1.3</v>
      </c>
      <c r="O119" s="53">
        <f t="shared" ref="O119:P119" si="124">SUM(O117:O118)</f>
        <v>0</v>
      </c>
      <c r="P119" s="53">
        <f t="shared" si="124"/>
        <v>1371207</v>
      </c>
      <c r="Q119" s="126">
        <v>1.3</v>
      </c>
      <c r="R119" s="53">
        <f t="shared" si="123"/>
        <v>1369949</v>
      </c>
      <c r="S119" s="53">
        <f t="shared" si="123"/>
        <v>0</v>
      </c>
      <c r="T119" s="53">
        <f t="shared" si="123"/>
        <v>1369949</v>
      </c>
      <c r="U119" s="53"/>
      <c r="V119" s="53"/>
      <c r="W119" s="53">
        <f t="shared" si="123"/>
        <v>1369949</v>
      </c>
    </row>
    <row r="120" spans="2:23" ht="21" x14ac:dyDescent="0.35">
      <c r="B120" s="100" t="s">
        <v>197</v>
      </c>
      <c r="C120" s="101"/>
      <c r="D120" s="101"/>
      <c r="E120" s="102"/>
      <c r="G120" s="46"/>
      <c r="H120" s="46"/>
      <c r="I120" s="46"/>
      <c r="J120" s="46"/>
      <c r="K120" s="46"/>
      <c r="L120" s="46"/>
      <c r="N120" s="111"/>
      <c r="O120" s="46"/>
      <c r="Q120" s="124"/>
      <c r="R120" s="46"/>
      <c r="S120" s="46"/>
      <c r="U120" s="39"/>
      <c r="V120" s="39"/>
      <c r="W120" s="40"/>
    </row>
    <row r="121" spans="2:23" ht="21" x14ac:dyDescent="0.35">
      <c r="B121" s="62"/>
      <c r="C121" s="30" t="s">
        <v>198</v>
      </c>
      <c r="E121" s="77"/>
      <c r="F121" s="48"/>
      <c r="G121" s="46">
        <v>3500000</v>
      </c>
      <c r="H121" s="46">
        <v>0</v>
      </c>
      <c r="I121" s="46">
        <f t="shared" ref="I121:I122" si="125">SUM(G121:H121)</f>
        <v>3500000</v>
      </c>
      <c r="J121" s="46">
        <v>0</v>
      </c>
      <c r="K121" s="46">
        <f t="shared" ref="K121:K122" si="126">SUM(I121:J121)</f>
        <v>3500000</v>
      </c>
      <c r="L121" s="46">
        <v>0</v>
      </c>
      <c r="M121" s="46">
        <f>SUM(K121:L121)</f>
        <v>3500000</v>
      </c>
      <c r="N121" s="111"/>
      <c r="O121" s="46">
        <v>0</v>
      </c>
      <c r="P121" s="46">
        <f t="shared" ref="P121:P122" si="127">+M121+O121</f>
        <v>3500000</v>
      </c>
      <c r="Q121" s="124"/>
      <c r="R121" s="46">
        <v>3500000</v>
      </c>
      <c r="S121" s="46">
        <v>0</v>
      </c>
      <c r="T121" s="46">
        <f t="shared" ref="T121:T122" si="128">SUM(R121:S121)</f>
        <v>3500000</v>
      </c>
      <c r="U121" s="39" t="s">
        <v>199</v>
      </c>
      <c r="V121" s="39" t="s">
        <v>200</v>
      </c>
      <c r="W121" s="40">
        <v>3500000</v>
      </c>
    </row>
    <row r="122" spans="2:23" ht="21" x14ac:dyDescent="0.35">
      <c r="B122" s="62"/>
      <c r="C122" s="30" t="s">
        <v>201</v>
      </c>
      <c r="E122" s="77"/>
      <c r="F122" s="48"/>
      <c r="G122" s="46">
        <f>-G121</f>
        <v>-3500000</v>
      </c>
      <c r="H122" s="46">
        <v>0</v>
      </c>
      <c r="I122" s="46">
        <f t="shared" si="125"/>
        <v>-3500000</v>
      </c>
      <c r="J122" s="46">
        <v>0</v>
      </c>
      <c r="K122" s="46">
        <f t="shared" si="126"/>
        <v>-3500000</v>
      </c>
      <c r="L122" s="46">
        <v>0</v>
      </c>
      <c r="M122" s="46">
        <f>SUM(K122:L122)</f>
        <v>-3500000</v>
      </c>
      <c r="N122" s="111"/>
      <c r="O122" s="46">
        <v>0</v>
      </c>
      <c r="P122" s="46">
        <f t="shared" si="127"/>
        <v>-3500000</v>
      </c>
      <c r="Q122" s="124"/>
      <c r="R122" s="46">
        <f>-3500000</f>
        <v>-3500000</v>
      </c>
      <c r="S122" s="46">
        <v>0</v>
      </c>
      <c r="T122" s="46">
        <f t="shared" si="128"/>
        <v>-3500000</v>
      </c>
      <c r="U122" s="39"/>
      <c r="V122" s="39"/>
      <c r="W122" s="40">
        <f>-W121</f>
        <v>-3500000</v>
      </c>
    </row>
    <row r="123" spans="2:23" ht="21" x14ac:dyDescent="0.35">
      <c r="B123" s="78"/>
      <c r="C123" s="79"/>
      <c r="D123" s="79"/>
      <c r="E123" s="57" t="s">
        <v>202</v>
      </c>
      <c r="F123" s="32"/>
      <c r="G123" s="53">
        <f>SUM(G121:G122)</f>
        <v>0</v>
      </c>
      <c r="H123" s="53">
        <f t="shared" ref="H123:T123" si="129">SUM(H121:H122)</f>
        <v>0</v>
      </c>
      <c r="I123" s="53">
        <f t="shared" si="129"/>
        <v>0</v>
      </c>
      <c r="J123" s="53">
        <f t="shared" si="129"/>
        <v>0</v>
      </c>
      <c r="K123" s="53">
        <f t="shared" si="129"/>
        <v>0</v>
      </c>
      <c r="L123" s="53">
        <f t="shared" si="129"/>
        <v>0</v>
      </c>
      <c r="M123" s="53">
        <f t="shared" si="129"/>
        <v>0</v>
      </c>
      <c r="N123" s="112"/>
      <c r="O123" s="53">
        <f t="shared" ref="O123:P123" si="130">SUM(O121:O122)</f>
        <v>0</v>
      </c>
      <c r="P123" s="53">
        <f t="shared" si="130"/>
        <v>0</v>
      </c>
      <c r="Q123" s="126"/>
      <c r="R123" s="53">
        <f t="shared" si="129"/>
        <v>0</v>
      </c>
      <c r="S123" s="53">
        <f t="shared" si="129"/>
        <v>0</v>
      </c>
      <c r="T123" s="53">
        <f t="shared" si="129"/>
        <v>0</v>
      </c>
      <c r="U123" s="53"/>
      <c r="V123" s="53"/>
      <c r="W123" s="53">
        <f t="shared" ref="W123" si="131">SUM(W121:W122)</f>
        <v>0</v>
      </c>
    </row>
    <row r="124" spans="2:23" ht="29.45" customHeight="1" thickBot="1" x14ac:dyDescent="0.4">
      <c r="B124" s="78"/>
      <c r="C124" s="79"/>
      <c r="D124" s="79"/>
      <c r="E124" s="57" t="s">
        <v>203</v>
      </c>
      <c r="F124" s="81"/>
      <c r="G124" s="58">
        <f>+G47+G67+G71+G110+G115+G119+G123</f>
        <v>254582289</v>
      </c>
      <c r="H124" s="58">
        <f>+H47+H67+H71+H110+H115+H119+H123</f>
        <v>-4000000</v>
      </c>
      <c r="I124" s="58">
        <f>+I47+I67+I71+I110+I115+I119+I123</f>
        <v>250582289</v>
      </c>
      <c r="J124" s="58">
        <f>+J47+J67+J71+J110+J115+J119+J123</f>
        <v>11538474</v>
      </c>
      <c r="K124" s="58">
        <f>+K47+K67+K71+K110+K115+K119+K123</f>
        <v>262120763</v>
      </c>
      <c r="L124" s="58">
        <f>+L47+L67+L71+L110+L115+L119+L123</f>
        <v>-937559</v>
      </c>
      <c r="M124" s="58">
        <f>+M47+M67+M71+M110+M115+M119+M123</f>
        <v>261183204</v>
      </c>
      <c r="N124" s="113">
        <f>+N47+N67+N71+N110+N115+N119+N123</f>
        <v>261.00000000000006</v>
      </c>
      <c r="O124" s="58">
        <f>+O47+O67+O71+O110+O115+O119+O123</f>
        <v>-2085000</v>
      </c>
      <c r="P124" s="58">
        <f>+P47+P67+P71+P110+P115+P119+P123</f>
        <v>259098204</v>
      </c>
      <c r="Q124" s="127">
        <f>+Q47+Q67+Q71+Q110+Q115+Q119+Q123</f>
        <v>258.7</v>
      </c>
      <c r="R124" s="58">
        <f>+R47+R67+R71+R110+R115+R119+R123</f>
        <v>210610705</v>
      </c>
      <c r="S124" s="58">
        <f>+S47+S67+S71+S110+S115+S119+S123</f>
        <v>8000000</v>
      </c>
      <c r="T124" s="58">
        <f>+T47+T67+T71+T110+T115+T119+T123</f>
        <v>218610705</v>
      </c>
      <c r="U124" s="58"/>
      <c r="V124" s="58"/>
      <c r="W124" s="58">
        <f>+W47+W67+W71+W110+W115+W119+W123</f>
        <v>62746372</v>
      </c>
    </row>
    <row r="125" spans="2:23" ht="30" customHeight="1" x14ac:dyDescent="0.35">
      <c r="B125" s="74" t="s">
        <v>204</v>
      </c>
      <c r="C125" s="75"/>
      <c r="D125" s="75"/>
      <c r="E125" s="62"/>
      <c r="G125" s="46"/>
      <c r="H125" s="46"/>
      <c r="I125" s="46"/>
      <c r="J125" s="46"/>
      <c r="K125" s="46"/>
      <c r="L125" s="46"/>
      <c r="N125" s="111"/>
      <c r="O125" s="46"/>
      <c r="Q125" s="124"/>
      <c r="R125" s="46"/>
      <c r="S125" s="46"/>
      <c r="U125" s="39"/>
      <c r="V125" s="39"/>
      <c r="W125" s="40"/>
    </row>
    <row r="126" spans="2:23" ht="21" x14ac:dyDescent="0.35">
      <c r="B126" s="29" t="s">
        <v>117</v>
      </c>
      <c r="C126" s="75"/>
      <c r="D126" s="75"/>
      <c r="E126" s="62"/>
      <c r="G126" s="46"/>
      <c r="H126" s="46"/>
      <c r="I126" s="46"/>
      <c r="J126" s="46"/>
      <c r="K126" s="46"/>
      <c r="L126" s="46"/>
      <c r="N126" s="111"/>
      <c r="O126" s="46"/>
      <c r="Q126" s="124"/>
      <c r="R126" s="46"/>
      <c r="S126" s="46"/>
      <c r="U126" s="39"/>
      <c r="V126" s="39"/>
      <c r="W126" s="40"/>
    </row>
    <row r="127" spans="2:23" ht="21" x14ac:dyDescent="0.35">
      <c r="C127" s="9" t="s">
        <v>118</v>
      </c>
      <c r="E127" s="75"/>
      <c r="G127" s="46"/>
      <c r="H127" s="46"/>
      <c r="I127" s="46"/>
      <c r="J127" s="46"/>
      <c r="K127" s="46"/>
      <c r="L127" s="46"/>
      <c r="N127" s="111"/>
      <c r="O127" s="46"/>
      <c r="Q127" s="124"/>
      <c r="R127" s="46"/>
      <c r="S127" s="46"/>
      <c r="U127" s="39"/>
      <c r="V127" s="39"/>
      <c r="W127" s="40"/>
    </row>
    <row r="128" spans="2:23" ht="21" x14ac:dyDescent="0.35">
      <c r="D128" s="14" t="s">
        <v>119</v>
      </c>
      <c r="F128" s="48"/>
      <c r="G128" s="46">
        <f>3272534+2115</f>
        <v>3274649</v>
      </c>
      <c r="H128" s="46">
        <v>0</v>
      </c>
      <c r="I128" s="46">
        <f t="shared" ref="I128:I129" si="132">SUM(G128:H128)</f>
        <v>3274649</v>
      </c>
      <c r="J128" s="46">
        <f>-2115</f>
        <v>-2115</v>
      </c>
      <c r="K128" s="46">
        <f t="shared" ref="K128:K129" si="133">SUM(I128:J128)</f>
        <v>3272534</v>
      </c>
      <c r="L128" s="46">
        <v>0</v>
      </c>
      <c r="M128" s="46">
        <f>SUM(K128:L128)</f>
        <v>3272534</v>
      </c>
      <c r="N128" s="111"/>
      <c r="O128" s="46">
        <v>0</v>
      </c>
      <c r="P128" s="46">
        <f t="shared" ref="P128" si="134">+M128+O128</f>
        <v>3272534</v>
      </c>
      <c r="Q128" s="124"/>
      <c r="R128" s="46">
        <v>3220373</v>
      </c>
      <c r="S128" s="46">
        <v>0</v>
      </c>
      <c r="T128" s="46">
        <f t="shared" ref="T128" si="135">SUM(R128:S128)</f>
        <v>3220373</v>
      </c>
      <c r="U128" s="39" t="s">
        <v>120</v>
      </c>
      <c r="V128" s="39"/>
      <c r="W128" s="40"/>
    </row>
    <row r="129" spans="2:23" ht="21" x14ac:dyDescent="0.35">
      <c r="D129" s="14" t="s">
        <v>123</v>
      </c>
      <c r="F129" s="48"/>
      <c r="G129" s="46">
        <v>1167055</v>
      </c>
      <c r="H129" s="46">
        <v>0</v>
      </c>
      <c r="I129" s="46">
        <f t="shared" si="132"/>
        <v>1167055</v>
      </c>
      <c r="J129" s="46">
        <v>0</v>
      </c>
      <c r="K129" s="46">
        <f t="shared" si="133"/>
        <v>1167055</v>
      </c>
      <c r="L129" s="46">
        <v>0</v>
      </c>
      <c r="M129" s="46">
        <f>SUM(K129:L129)</f>
        <v>1167055</v>
      </c>
      <c r="N129" s="111"/>
      <c r="O129" s="46">
        <v>0</v>
      </c>
      <c r="P129" s="46">
        <f t="shared" ref="P129" si="136">+M129+O129</f>
        <v>1167055</v>
      </c>
      <c r="Q129" s="124"/>
      <c r="R129" s="46">
        <v>1085591</v>
      </c>
      <c r="S129" s="46">
        <v>0</v>
      </c>
      <c r="T129" s="46">
        <f t="shared" ref="T129" si="137">SUM(R129:S129)</f>
        <v>1085591</v>
      </c>
      <c r="U129" s="39" t="s">
        <v>124</v>
      </c>
      <c r="V129" s="39"/>
      <c r="W129" s="40"/>
    </row>
    <row r="130" spans="2:23" ht="21" x14ac:dyDescent="0.35">
      <c r="D130" s="30" t="s">
        <v>125</v>
      </c>
      <c r="E130" s="30"/>
      <c r="F130" s="48"/>
      <c r="G130" s="87">
        <f>-156438-274870</f>
        <v>-431308</v>
      </c>
      <c r="H130" s="87">
        <v>0</v>
      </c>
      <c r="I130" s="87">
        <f>SUM(G130:H130)</f>
        <v>-431308</v>
      </c>
      <c r="J130" s="87">
        <v>0</v>
      </c>
      <c r="K130" s="87">
        <f>SUM(I130:J130)</f>
        <v>-431308</v>
      </c>
      <c r="L130" s="87">
        <v>0</v>
      </c>
      <c r="M130" s="87">
        <f>SUM(K130:L130)</f>
        <v>-431308</v>
      </c>
      <c r="N130" s="117"/>
      <c r="O130" s="87">
        <v>0</v>
      </c>
      <c r="P130" s="87">
        <f t="shared" ref="P130" si="138">+M130+O130</f>
        <v>-431308</v>
      </c>
      <c r="Q130" s="129"/>
      <c r="R130" s="87">
        <v>-295569</v>
      </c>
      <c r="S130" s="87">
        <v>0</v>
      </c>
      <c r="T130" s="87">
        <f t="shared" ref="T130" si="139">SUM(R130:S130)</f>
        <v>-295569</v>
      </c>
      <c r="U130" s="39" t="s">
        <v>210</v>
      </c>
      <c r="V130" s="39"/>
      <c r="W130" s="40"/>
    </row>
    <row r="131" spans="2:23" ht="21" x14ac:dyDescent="0.35">
      <c r="B131" s="78"/>
      <c r="C131" s="9" t="s">
        <v>126</v>
      </c>
      <c r="D131" s="79"/>
      <c r="E131" s="57"/>
      <c r="F131" s="48" t="s">
        <v>211</v>
      </c>
      <c r="G131" s="67">
        <f>SUM(G128:G130)</f>
        <v>4010396</v>
      </c>
      <c r="H131" s="67">
        <f>SUM(H128:H130)</f>
        <v>0</v>
      </c>
      <c r="I131" s="67">
        <f>SUM(I128:I130)</f>
        <v>4010396</v>
      </c>
      <c r="J131" s="67">
        <f>SUM(J128:J130)</f>
        <v>-2115</v>
      </c>
      <c r="K131" s="67">
        <f>SUM(K128:K130)</f>
        <v>4008281</v>
      </c>
      <c r="L131" s="67">
        <f>SUM(L128:L130)</f>
        <v>0</v>
      </c>
      <c r="M131" s="67">
        <f>SUM(M128:M130)</f>
        <v>4008281</v>
      </c>
      <c r="N131" s="116">
        <f>SUM(N128:N130)</f>
        <v>0</v>
      </c>
      <c r="O131" s="67">
        <f>SUM(O128:O130)</f>
        <v>0</v>
      </c>
      <c r="P131" s="67">
        <f>SUM(P128:P130)</f>
        <v>4008281</v>
      </c>
      <c r="Q131" s="125">
        <f>SUM(Q128:Q130)</f>
        <v>0</v>
      </c>
      <c r="R131" s="67">
        <f>SUM(R128:R130)</f>
        <v>4010395</v>
      </c>
      <c r="S131" s="67">
        <f>SUM(S128:S130)</f>
        <v>0</v>
      </c>
      <c r="T131" s="67">
        <f>SUM(T128:T130)</f>
        <v>4010395</v>
      </c>
      <c r="U131" s="39"/>
      <c r="V131" s="39"/>
      <c r="W131" s="40">
        <f>SUM(W128:W130)</f>
        <v>0</v>
      </c>
    </row>
    <row r="132" spans="2:23" ht="21" x14ac:dyDescent="0.35">
      <c r="B132" s="62"/>
      <c r="C132" s="9" t="s">
        <v>128</v>
      </c>
      <c r="E132" s="62"/>
      <c r="G132" s="46"/>
      <c r="H132" s="46"/>
      <c r="I132" s="46"/>
      <c r="J132" s="46"/>
      <c r="K132" s="46"/>
      <c r="L132" s="46"/>
      <c r="N132" s="111"/>
      <c r="O132" s="46"/>
      <c r="Q132" s="124"/>
      <c r="R132" s="46"/>
      <c r="S132" s="46"/>
      <c r="U132" s="39"/>
      <c r="V132" s="39"/>
      <c r="W132" s="40"/>
    </row>
    <row r="133" spans="2:23" ht="21" x14ac:dyDescent="0.35">
      <c r="B133" s="62"/>
      <c r="C133" s="30"/>
      <c r="D133" s="9" t="s">
        <v>279</v>
      </c>
      <c r="E133" s="77"/>
      <c r="F133" s="48"/>
      <c r="G133" s="46"/>
      <c r="H133" s="46"/>
      <c r="I133" s="46"/>
      <c r="J133" s="46"/>
      <c r="K133" s="46"/>
      <c r="L133" s="46"/>
      <c r="N133" s="111"/>
      <c r="O133" s="46"/>
      <c r="P133" s="108"/>
      <c r="Q133" s="124"/>
      <c r="R133" s="46"/>
      <c r="S133" s="46"/>
      <c r="T133" s="108"/>
      <c r="U133" s="39"/>
      <c r="V133" s="39"/>
      <c r="W133" s="40"/>
    </row>
    <row r="134" spans="2:23" ht="21" x14ac:dyDescent="0.35">
      <c r="B134" s="62"/>
      <c r="D134" s="14" t="s">
        <v>129</v>
      </c>
      <c r="E134" s="62"/>
      <c r="F134" s="48" t="s">
        <v>212</v>
      </c>
      <c r="G134" s="46">
        <f>611500+200000</f>
        <v>811500</v>
      </c>
      <c r="H134" s="46">
        <v>0</v>
      </c>
      <c r="I134" s="46">
        <f t="shared" ref="I134:I175" si="140">SUM(G134:H134)</f>
        <v>811500</v>
      </c>
      <c r="J134" s="46">
        <v>0</v>
      </c>
      <c r="K134" s="46">
        <f t="shared" ref="K134:K135" si="141">SUM(I134:J134)</f>
        <v>811500</v>
      </c>
      <c r="L134" s="46">
        <v>0</v>
      </c>
      <c r="M134" s="46">
        <f>SUM(K134:L134)</f>
        <v>811500</v>
      </c>
      <c r="N134" s="111"/>
      <c r="O134" s="46">
        <v>85000</v>
      </c>
      <c r="P134" s="108">
        <f t="shared" ref="P134:P135" si="142">+M134+O134</f>
        <v>896500</v>
      </c>
      <c r="Q134" s="124"/>
      <c r="R134" s="46">
        <v>611500</v>
      </c>
      <c r="S134" s="46">
        <v>0</v>
      </c>
      <c r="T134" s="108">
        <f t="shared" ref="T134:T160" si="143">SUM(R134:S134)</f>
        <v>611500</v>
      </c>
      <c r="U134" s="39" t="s">
        <v>130</v>
      </c>
      <c r="V134" s="39" t="s">
        <v>206</v>
      </c>
      <c r="W134" s="40">
        <v>611500</v>
      </c>
    </row>
    <row r="135" spans="2:23" ht="21" x14ac:dyDescent="0.35">
      <c r="B135" s="62"/>
      <c r="D135" s="14" t="s">
        <v>132</v>
      </c>
      <c r="E135" s="62"/>
      <c r="F135" s="48"/>
      <c r="G135" s="46">
        <v>1283620</v>
      </c>
      <c r="H135" s="46">
        <v>0</v>
      </c>
      <c r="I135" s="46">
        <f t="shared" ref="I135" si="144">SUM(G135:H135)</f>
        <v>1283620</v>
      </c>
      <c r="J135" s="46">
        <v>0</v>
      </c>
      <c r="K135" s="46">
        <f t="shared" si="141"/>
        <v>1283620</v>
      </c>
      <c r="L135" s="46">
        <v>0</v>
      </c>
      <c r="M135" s="46">
        <f>SUM(K135:L135)</f>
        <v>1283620</v>
      </c>
      <c r="N135" s="111"/>
      <c r="O135" s="46">
        <v>0</v>
      </c>
      <c r="P135" s="108">
        <f t="shared" si="142"/>
        <v>1283620</v>
      </c>
      <c r="Q135" s="124"/>
      <c r="R135" s="46">
        <v>1283620</v>
      </c>
      <c r="S135" s="46">
        <v>0</v>
      </c>
      <c r="T135" s="108">
        <f t="shared" si="143"/>
        <v>1283620</v>
      </c>
      <c r="U135" s="39" t="s">
        <v>133</v>
      </c>
      <c r="V135" s="39"/>
      <c r="W135" s="40"/>
    </row>
    <row r="136" spans="2:23" ht="21" x14ac:dyDescent="0.35">
      <c r="B136" s="62"/>
      <c r="D136" s="14" t="s">
        <v>134</v>
      </c>
      <c r="E136" s="62"/>
      <c r="F136" s="48" t="s">
        <v>213</v>
      </c>
      <c r="G136" s="46">
        <v>108351</v>
      </c>
      <c r="H136" s="46">
        <v>0</v>
      </c>
      <c r="I136" s="46">
        <f t="shared" si="140"/>
        <v>108351</v>
      </c>
      <c r="J136" s="46">
        <v>0</v>
      </c>
      <c r="K136" s="46">
        <f t="shared" ref="K136" si="145">SUM(I136:J136)</f>
        <v>108351</v>
      </c>
      <c r="L136" s="46">
        <v>0</v>
      </c>
      <c r="M136" s="46">
        <f>SUM(K136:L136)</f>
        <v>108351</v>
      </c>
      <c r="N136" s="111"/>
      <c r="O136" s="46">
        <v>0</v>
      </c>
      <c r="P136" s="108">
        <f t="shared" ref="P136" si="146">+M136+O136</f>
        <v>108351</v>
      </c>
      <c r="Q136" s="124"/>
      <c r="R136" s="46">
        <v>108351</v>
      </c>
      <c r="S136" s="46">
        <v>0</v>
      </c>
      <c r="T136" s="108">
        <f t="shared" si="143"/>
        <v>108351</v>
      </c>
      <c r="U136" s="39" t="s">
        <v>214</v>
      </c>
      <c r="V136" s="39"/>
      <c r="W136" s="40"/>
    </row>
    <row r="137" spans="2:23" ht="21" x14ac:dyDescent="0.35">
      <c r="B137" s="62"/>
      <c r="D137" s="92" t="s">
        <v>279</v>
      </c>
      <c r="E137" s="62"/>
      <c r="F137" s="48"/>
      <c r="G137" s="108">
        <f>SUM(G134:G136)</f>
        <v>2203471</v>
      </c>
      <c r="H137" s="108">
        <f>SUM(H134:H136)</f>
        <v>0</v>
      </c>
      <c r="I137" s="108">
        <f>SUM(I134:I136)</f>
        <v>2203471</v>
      </c>
      <c r="J137" s="108">
        <f>SUM(J134:J136)</f>
        <v>0</v>
      </c>
      <c r="K137" s="108">
        <f>SUM(K134:K136)</f>
        <v>2203471</v>
      </c>
      <c r="L137" s="108">
        <f>SUM(L134:L136)</f>
        <v>0</v>
      </c>
      <c r="M137" s="108">
        <f>SUM(M134:M136)</f>
        <v>2203471</v>
      </c>
      <c r="N137" s="118"/>
      <c r="O137" s="108">
        <f>SUM(O134:O136)</f>
        <v>85000</v>
      </c>
      <c r="P137" s="108">
        <f>SUM(P134:P136)</f>
        <v>2288471</v>
      </c>
      <c r="Q137" s="130"/>
      <c r="R137" s="108">
        <f>SUM(R134:R136)</f>
        <v>2003471</v>
      </c>
      <c r="S137" s="108">
        <f>SUM(S134:S136)</f>
        <v>0</v>
      </c>
      <c r="T137" s="108">
        <f>SUM(T134:T136)</f>
        <v>2003471</v>
      </c>
      <c r="U137" s="109"/>
      <c r="V137" s="109"/>
      <c r="W137" s="110">
        <f>SUM(W134:W136)</f>
        <v>611500</v>
      </c>
    </row>
    <row r="138" spans="2:23" ht="21" x14ac:dyDescent="0.35">
      <c r="B138" s="62"/>
      <c r="C138" s="30"/>
      <c r="D138" s="9" t="s">
        <v>135</v>
      </c>
      <c r="E138" s="77"/>
      <c r="F138" s="48"/>
      <c r="G138" s="46"/>
      <c r="H138" s="46"/>
      <c r="I138" s="46"/>
      <c r="J138" s="46"/>
      <c r="K138" s="46"/>
      <c r="L138" s="46"/>
      <c r="N138" s="111"/>
      <c r="O138" s="46"/>
      <c r="Q138" s="124"/>
      <c r="R138" s="46"/>
      <c r="S138" s="46"/>
      <c r="U138" s="39"/>
      <c r="V138" s="39"/>
      <c r="W138" s="40"/>
    </row>
    <row r="139" spans="2:23" ht="21" x14ac:dyDescent="0.35">
      <c r="B139" s="62"/>
      <c r="C139" s="30"/>
      <c r="D139" s="103"/>
      <c r="E139" s="95" t="s">
        <v>215</v>
      </c>
      <c r="F139" s="56"/>
      <c r="G139" s="40">
        <v>42000</v>
      </c>
      <c r="H139" s="46">
        <v>0</v>
      </c>
      <c r="I139" s="46">
        <f t="shared" ref="I139:I144" si="147">SUM(G139:H139)</f>
        <v>42000</v>
      </c>
      <c r="J139" s="46">
        <v>0</v>
      </c>
      <c r="K139" s="46">
        <f t="shared" ref="K139" si="148">SUM(I139:J139)</f>
        <v>42000</v>
      </c>
      <c r="L139" s="46">
        <v>0</v>
      </c>
      <c r="M139" s="46">
        <f t="shared" ref="M139" si="149">SUM(K139:L139)</f>
        <v>42000</v>
      </c>
      <c r="N139" s="116"/>
      <c r="O139" s="46">
        <v>0</v>
      </c>
      <c r="P139" s="46">
        <f t="shared" ref="P139:P144" si="150">+M139+O139</f>
        <v>42000</v>
      </c>
      <c r="Q139" s="125"/>
      <c r="R139" s="40">
        <v>42000</v>
      </c>
      <c r="S139" s="46">
        <v>0</v>
      </c>
      <c r="T139" s="46">
        <f t="shared" ref="T139:T144" si="151">SUM(R139:S139)</f>
        <v>42000</v>
      </c>
      <c r="U139" s="94" t="s">
        <v>216</v>
      </c>
      <c r="V139" s="39" t="s">
        <v>207</v>
      </c>
      <c r="W139" s="40">
        <v>5000</v>
      </c>
    </row>
    <row r="140" spans="2:23" ht="21" x14ac:dyDescent="0.35">
      <c r="B140" s="62"/>
      <c r="C140" s="30"/>
      <c r="D140" s="103"/>
      <c r="E140" s="95" t="s">
        <v>217</v>
      </c>
      <c r="F140" s="56"/>
      <c r="G140" s="40">
        <v>3300</v>
      </c>
      <c r="H140" s="46">
        <v>0</v>
      </c>
      <c r="I140" s="46">
        <f t="shared" si="147"/>
        <v>3300</v>
      </c>
      <c r="J140" s="46">
        <v>0</v>
      </c>
      <c r="K140" s="46">
        <f t="shared" ref="K140:K143" si="152">SUM(I140:J140)</f>
        <v>3300</v>
      </c>
      <c r="L140" s="46">
        <v>0</v>
      </c>
      <c r="M140" s="46">
        <f t="shared" ref="M140:M143" si="153">SUM(K140:L140)</f>
        <v>3300</v>
      </c>
      <c r="N140" s="116"/>
      <c r="O140" s="46">
        <v>0</v>
      </c>
      <c r="P140" s="46">
        <f t="shared" si="150"/>
        <v>3300</v>
      </c>
      <c r="Q140" s="125"/>
      <c r="R140" s="40">
        <v>3300</v>
      </c>
      <c r="S140" s="46">
        <v>0</v>
      </c>
      <c r="T140" s="46">
        <f t="shared" si="151"/>
        <v>3300</v>
      </c>
      <c r="U140" s="94" t="s">
        <v>218</v>
      </c>
      <c r="V140" s="39" t="s">
        <v>209</v>
      </c>
      <c r="W140" s="40">
        <v>3300</v>
      </c>
    </row>
    <row r="141" spans="2:23" ht="21" x14ac:dyDescent="0.35">
      <c r="B141" s="62"/>
      <c r="C141" s="30"/>
      <c r="D141" s="103"/>
      <c r="E141" s="95" t="s">
        <v>219</v>
      </c>
      <c r="F141" s="56"/>
      <c r="G141" s="40">
        <v>12000</v>
      </c>
      <c r="H141" s="46">
        <v>0</v>
      </c>
      <c r="I141" s="46">
        <f t="shared" si="147"/>
        <v>12000</v>
      </c>
      <c r="J141" s="46">
        <v>0</v>
      </c>
      <c r="K141" s="46">
        <f t="shared" si="152"/>
        <v>12000</v>
      </c>
      <c r="L141" s="46">
        <v>0</v>
      </c>
      <c r="M141" s="46">
        <f t="shared" si="153"/>
        <v>12000</v>
      </c>
      <c r="N141" s="116"/>
      <c r="O141" s="46">
        <v>0</v>
      </c>
      <c r="P141" s="46">
        <f t="shared" si="150"/>
        <v>12000</v>
      </c>
      <c r="Q141" s="125"/>
      <c r="R141" s="40">
        <v>12000</v>
      </c>
      <c r="S141" s="46">
        <v>0</v>
      </c>
      <c r="T141" s="46">
        <f t="shared" si="151"/>
        <v>12000</v>
      </c>
      <c r="U141" s="94" t="s">
        <v>220</v>
      </c>
      <c r="V141" s="39" t="s">
        <v>209</v>
      </c>
      <c r="W141" s="40">
        <v>12000</v>
      </c>
    </row>
    <row r="142" spans="2:23" ht="21" x14ac:dyDescent="0.35">
      <c r="B142" s="62"/>
      <c r="C142" s="30"/>
      <c r="D142" s="103"/>
      <c r="E142" s="95" t="s">
        <v>221</v>
      </c>
      <c r="F142" s="56"/>
      <c r="G142" s="40">
        <v>86500</v>
      </c>
      <c r="H142" s="46">
        <v>0</v>
      </c>
      <c r="I142" s="46">
        <f t="shared" si="147"/>
        <v>86500</v>
      </c>
      <c r="J142" s="46">
        <v>0</v>
      </c>
      <c r="K142" s="46">
        <f t="shared" si="152"/>
        <v>86500</v>
      </c>
      <c r="L142" s="46">
        <v>0</v>
      </c>
      <c r="M142" s="46">
        <f t="shared" si="153"/>
        <v>86500</v>
      </c>
      <c r="N142" s="116"/>
      <c r="O142" s="46">
        <v>0</v>
      </c>
      <c r="P142" s="46">
        <f t="shared" si="150"/>
        <v>86500</v>
      </c>
      <c r="Q142" s="125"/>
      <c r="R142" s="40">
        <v>86500</v>
      </c>
      <c r="S142" s="46">
        <v>0</v>
      </c>
      <c r="T142" s="46">
        <f t="shared" si="151"/>
        <v>86500</v>
      </c>
      <c r="U142" s="94" t="s">
        <v>222</v>
      </c>
      <c r="V142" s="39" t="s">
        <v>209</v>
      </c>
      <c r="W142" s="40">
        <v>86500</v>
      </c>
    </row>
    <row r="143" spans="2:23" ht="21" x14ac:dyDescent="0.35">
      <c r="B143" s="62"/>
      <c r="C143" s="30"/>
      <c r="D143" s="103"/>
      <c r="E143" s="95" t="s">
        <v>223</v>
      </c>
      <c r="F143" s="56"/>
      <c r="G143" s="40">
        <v>21000</v>
      </c>
      <c r="H143" s="46">
        <v>0</v>
      </c>
      <c r="I143" s="46">
        <f t="shared" si="147"/>
        <v>21000</v>
      </c>
      <c r="J143" s="46">
        <v>0</v>
      </c>
      <c r="K143" s="46">
        <f t="shared" si="152"/>
        <v>21000</v>
      </c>
      <c r="L143" s="46">
        <v>0</v>
      </c>
      <c r="M143" s="46">
        <f t="shared" si="153"/>
        <v>21000</v>
      </c>
      <c r="N143" s="116"/>
      <c r="O143" s="46">
        <v>0</v>
      </c>
      <c r="P143" s="46">
        <f t="shared" si="150"/>
        <v>21000</v>
      </c>
      <c r="Q143" s="125"/>
      <c r="R143" s="40">
        <v>21000</v>
      </c>
      <c r="S143" s="46">
        <v>0</v>
      </c>
      <c r="T143" s="46">
        <f t="shared" si="151"/>
        <v>21000</v>
      </c>
      <c r="U143" s="94" t="s">
        <v>224</v>
      </c>
      <c r="V143" s="39" t="s">
        <v>207</v>
      </c>
      <c r="W143" s="40">
        <v>15000</v>
      </c>
    </row>
    <row r="144" spans="2:23" ht="21" x14ac:dyDescent="0.35">
      <c r="B144" s="62"/>
      <c r="C144" s="30"/>
      <c r="D144" s="103"/>
      <c r="E144" s="95" t="s">
        <v>225</v>
      </c>
      <c r="F144" s="56"/>
      <c r="G144" s="40">
        <v>26000</v>
      </c>
      <c r="H144" s="46">
        <v>0</v>
      </c>
      <c r="I144" s="46">
        <f t="shared" si="147"/>
        <v>26000</v>
      </c>
      <c r="J144" s="46">
        <v>0</v>
      </c>
      <c r="K144" s="46">
        <f t="shared" ref="K144" si="154">SUM(I144:J144)</f>
        <v>26000</v>
      </c>
      <c r="L144" s="46">
        <v>0</v>
      </c>
      <c r="M144" s="46">
        <f t="shared" ref="M144" si="155">SUM(K144:L144)</f>
        <v>26000</v>
      </c>
      <c r="N144" s="116"/>
      <c r="O144" s="46">
        <v>0</v>
      </c>
      <c r="P144" s="46">
        <f t="shared" si="150"/>
        <v>26000</v>
      </c>
      <c r="Q144" s="125"/>
      <c r="R144" s="40">
        <v>26000</v>
      </c>
      <c r="S144" s="46">
        <v>0</v>
      </c>
      <c r="T144" s="46">
        <f t="shared" si="151"/>
        <v>26000</v>
      </c>
      <c r="U144" s="94" t="s">
        <v>226</v>
      </c>
      <c r="V144" s="39" t="s">
        <v>206</v>
      </c>
      <c r="W144" s="40">
        <v>26000</v>
      </c>
    </row>
    <row r="145" spans="2:23" ht="21" x14ac:dyDescent="0.35">
      <c r="B145" s="62"/>
      <c r="D145" s="92" t="s">
        <v>135</v>
      </c>
      <c r="E145" s="62"/>
      <c r="F145" s="48"/>
      <c r="G145" s="108">
        <f>SUM(G139:G144)</f>
        <v>190800</v>
      </c>
      <c r="H145" s="108">
        <f>SUM(H139:H144)</f>
        <v>0</v>
      </c>
      <c r="I145" s="108">
        <f>SUM(I139:I144)</f>
        <v>190800</v>
      </c>
      <c r="J145" s="108">
        <f>SUM(J139:J144)</f>
        <v>0</v>
      </c>
      <c r="K145" s="108">
        <f>SUM(K139:K144)</f>
        <v>190800</v>
      </c>
      <c r="L145" s="108">
        <f>SUM(L139:L144)</f>
        <v>0</v>
      </c>
      <c r="M145" s="108">
        <f>SUM(M139:M144)</f>
        <v>190800</v>
      </c>
      <c r="N145" s="118"/>
      <c r="O145" s="108">
        <f>SUM(O139:O144)</f>
        <v>0</v>
      </c>
      <c r="P145" s="108">
        <f>SUM(P139:P144)</f>
        <v>190800</v>
      </c>
      <c r="Q145" s="130"/>
      <c r="R145" s="108">
        <f>SUM(R139:R144)</f>
        <v>190800</v>
      </c>
      <c r="S145" s="108">
        <f>SUM(S139:S144)</f>
        <v>0</v>
      </c>
      <c r="T145" s="108">
        <f>SUM(T139:T144)</f>
        <v>190800</v>
      </c>
      <c r="U145" s="109"/>
      <c r="V145" s="109"/>
      <c r="W145" s="110">
        <f>SUM(W139:W144)</f>
        <v>147800</v>
      </c>
    </row>
    <row r="146" spans="2:23" ht="21" x14ac:dyDescent="0.35">
      <c r="B146" s="62"/>
      <c r="D146" s="96" t="s">
        <v>136</v>
      </c>
      <c r="E146" s="97"/>
      <c r="F146" s="56"/>
      <c r="G146" s="50"/>
      <c r="H146" s="50"/>
      <c r="I146" s="50"/>
      <c r="J146" s="50"/>
      <c r="K146" s="50"/>
      <c r="L146" s="50"/>
      <c r="M146" s="50"/>
      <c r="N146" s="116"/>
      <c r="O146" s="50"/>
      <c r="P146" s="50"/>
      <c r="Q146" s="125"/>
      <c r="R146" s="50"/>
      <c r="S146" s="50"/>
      <c r="T146" s="50"/>
      <c r="U146" s="39"/>
      <c r="V146" s="39"/>
      <c r="W146" s="40"/>
    </row>
    <row r="147" spans="2:23" ht="21" x14ac:dyDescent="0.35">
      <c r="B147" s="62"/>
      <c r="D147" s="92"/>
      <c r="E147" s="95" t="s">
        <v>227</v>
      </c>
      <c r="F147" s="56"/>
      <c r="G147" s="50">
        <v>55000</v>
      </c>
      <c r="H147" s="46">
        <v>0</v>
      </c>
      <c r="I147" s="46">
        <f t="shared" si="140"/>
        <v>55000</v>
      </c>
      <c r="J147" s="46">
        <v>0</v>
      </c>
      <c r="K147" s="46">
        <f t="shared" ref="K147:K151" si="156">SUM(I147:J147)</f>
        <v>55000</v>
      </c>
      <c r="L147" s="46">
        <v>0</v>
      </c>
      <c r="M147" s="46">
        <f t="shared" ref="M147:M151" si="157">SUM(K147:L147)</f>
        <v>55000</v>
      </c>
      <c r="N147" s="116"/>
      <c r="O147" s="46">
        <v>0</v>
      </c>
      <c r="P147" s="46">
        <f t="shared" ref="P147:P151" si="158">+M147+O147</f>
        <v>55000</v>
      </c>
      <c r="Q147" s="125"/>
      <c r="R147" s="40">
        <v>55000</v>
      </c>
      <c r="S147" s="46">
        <v>0</v>
      </c>
      <c r="T147" s="46">
        <f t="shared" ref="T147:T151" si="159">SUM(R147:S147)</f>
        <v>55000</v>
      </c>
      <c r="U147" s="94" t="s">
        <v>228</v>
      </c>
      <c r="V147" s="39" t="s">
        <v>207</v>
      </c>
      <c r="W147" s="40">
        <v>55000</v>
      </c>
    </row>
    <row r="148" spans="2:23" ht="21" x14ac:dyDescent="0.35">
      <c r="B148" s="62"/>
      <c r="D148" s="92"/>
      <c r="E148" s="95" t="s">
        <v>229</v>
      </c>
      <c r="F148" s="56"/>
      <c r="G148" s="50">
        <v>6000</v>
      </c>
      <c r="H148" s="46">
        <v>0</v>
      </c>
      <c r="I148" s="46">
        <f t="shared" si="140"/>
        <v>6000</v>
      </c>
      <c r="J148" s="46">
        <v>0</v>
      </c>
      <c r="K148" s="46">
        <f t="shared" si="156"/>
        <v>6000</v>
      </c>
      <c r="L148" s="46">
        <v>0</v>
      </c>
      <c r="M148" s="46">
        <f t="shared" si="157"/>
        <v>6000</v>
      </c>
      <c r="N148" s="116"/>
      <c r="O148" s="46">
        <v>0</v>
      </c>
      <c r="P148" s="46">
        <f t="shared" si="158"/>
        <v>6000</v>
      </c>
      <c r="Q148" s="125"/>
      <c r="R148" s="40">
        <v>6000</v>
      </c>
      <c r="S148" s="46">
        <v>0</v>
      </c>
      <c r="T148" s="46">
        <f t="shared" si="159"/>
        <v>6000</v>
      </c>
      <c r="U148" s="94" t="s">
        <v>230</v>
      </c>
      <c r="V148" s="39" t="s">
        <v>207</v>
      </c>
      <c r="W148" s="40">
        <v>6000</v>
      </c>
    </row>
    <row r="149" spans="2:23" ht="21" x14ac:dyDescent="0.35">
      <c r="B149" s="62"/>
      <c r="D149" s="92"/>
      <c r="E149" s="95" t="s">
        <v>231</v>
      </c>
      <c r="F149" s="56"/>
      <c r="G149" s="50">
        <v>6100</v>
      </c>
      <c r="H149" s="46">
        <v>0</v>
      </c>
      <c r="I149" s="46">
        <f t="shared" si="140"/>
        <v>6100</v>
      </c>
      <c r="J149" s="46">
        <v>0</v>
      </c>
      <c r="K149" s="46">
        <f t="shared" si="156"/>
        <v>6100</v>
      </c>
      <c r="L149" s="46">
        <v>0</v>
      </c>
      <c r="M149" s="46">
        <f t="shared" si="157"/>
        <v>6100</v>
      </c>
      <c r="N149" s="116"/>
      <c r="O149" s="46">
        <v>0</v>
      </c>
      <c r="P149" s="46">
        <f t="shared" si="158"/>
        <v>6100</v>
      </c>
      <c r="Q149" s="125"/>
      <c r="R149" s="40">
        <v>6100</v>
      </c>
      <c r="S149" s="46">
        <v>0</v>
      </c>
      <c r="T149" s="46">
        <f t="shared" si="159"/>
        <v>6100</v>
      </c>
      <c r="U149" s="94" t="s">
        <v>137</v>
      </c>
      <c r="V149" s="39" t="s">
        <v>206</v>
      </c>
      <c r="W149" s="40">
        <v>6100</v>
      </c>
    </row>
    <row r="150" spans="2:23" ht="21" x14ac:dyDescent="0.35">
      <c r="B150" s="62"/>
      <c r="D150" s="92"/>
      <c r="E150" s="95" t="s">
        <v>232</v>
      </c>
      <c r="F150" s="56"/>
      <c r="G150" s="50">
        <v>163200</v>
      </c>
      <c r="H150" s="46">
        <v>0</v>
      </c>
      <c r="I150" s="46">
        <f t="shared" si="140"/>
        <v>163200</v>
      </c>
      <c r="J150" s="46">
        <v>0</v>
      </c>
      <c r="K150" s="46">
        <f t="shared" si="156"/>
        <v>163200</v>
      </c>
      <c r="L150" s="46">
        <v>0</v>
      </c>
      <c r="M150" s="46">
        <f t="shared" si="157"/>
        <v>163200</v>
      </c>
      <c r="N150" s="116"/>
      <c r="O150" s="46">
        <v>0</v>
      </c>
      <c r="P150" s="46">
        <f t="shared" si="158"/>
        <v>163200</v>
      </c>
      <c r="Q150" s="125"/>
      <c r="R150" s="40">
        <v>163200</v>
      </c>
      <c r="S150" s="46">
        <v>0</v>
      </c>
      <c r="T150" s="46">
        <f t="shared" si="159"/>
        <v>163200</v>
      </c>
      <c r="U150" s="94" t="s">
        <v>233</v>
      </c>
      <c r="V150" s="39" t="s">
        <v>208</v>
      </c>
      <c r="W150" s="40">
        <v>163200</v>
      </c>
    </row>
    <row r="151" spans="2:23" ht="21" x14ac:dyDescent="0.35">
      <c r="B151" s="62"/>
      <c r="D151" s="92"/>
      <c r="E151" s="95" t="s">
        <v>234</v>
      </c>
      <c r="F151" s="56"/>
      <c r="G151" s="50">
        <v>133650</v>
      </c>
      <c r="H151" s="46">
        <v>0</v>
      </c>
      <c r="I151" s="46">
        <f t="shared" si="140"/>
        <v>133650</v>
      </c>
      <c r="J151" s="46">
        <v>0</v>
      </c>
      <c r="K151" s="46">
        <f t="shared" si="156"/>
        <v>133650</v>
      </c>
      <c r="L151" s="46">
        <v>0</v>
      </c>
      <c r="M151" s="46">
        <f t="shared" si="157"/>
        <v>133650</v>
      </c>
      <c r="N151" s="116"/>
      <c r="O151" s="46">
        <v>0</v>
      </c>
      <c r="P151" s="46">
        <f t="shared" si="158"/>
        <v>133650</v>
      </c>
      <c r="Q151" s="125"/>
      <c r="R151" s="40">
        <v>133650</v>
      </c>
      <c r="S151" s="46">
        <v>0</v>
      </c>
      <c r="T151" s="46">
        <f t="shared" si="159"/>
        <v>133650</v>
      </c>
      <c r="U151" s="94" t="s">
        <v>235</v>
      </c>
      <c r="V151" s="39" t="s">
        <v>236</v>
      </c>
      <c r="W151" s="40">
        <v>124000</v>
      </c>
    </row>
    <row r="152" spans="2:23" ht="21" x14ac:dyDescent="0.35">
      <c r="B152" s="62"/>
      <c r="D152" s="92" t="s">
        <v>136</v>
      </c>
      <c r="E152" s="62"/>
      <c r="F152" s="48"/>
      <c r="G152" s="108">
        <f>SUM(G147:G151)</f>
        <v>363950</v>
      </c>
      <c r="H152" s="108">
        <f>SUM(H147:H151)</f>
        <v>0</v>
      </c>
      <c r="I152" s="108">
        <f>SUM(I147:I151)</f>
        <v>363950</v>
      </c>
      <c r="J152" s="108">
        <f>SUM(J147:J151)</f>
        <v>0</v>
      </c>
      <c r="K152" s="108">
        <f>SUM(K147:K151)</f>
        <v>363950</v>
      </c>
      <c r="L152" s="108">
        <f>SUM(L147:L151)</f>
        <v>0</v>
      </c>
      <c r="M152" s="108">
        <f>SUM(M147:M151)</f>
        <v>363950</v>
      </c>
      <c r="N152" s="118"/>
      <c r="O152" s="108">
        <f>SUM(O147:O151)</f>
        <v>0</v>
      </c>
      <c r="P152" s="108">
        <f>SUM(P147:P151)</f>
        <v>363950</v>
      </c>
      <c r="Q152" s="130"/>
      <c r="R152" s="108">
        <f>SUM(R147:R151)</f>
        <v>363950</v>
      </c>
      <c r="S152" s="108">
        <f>SUM(S147:S151)</f>
        <v>0</v>
      </c>
      <c r="T152" s="108">
        <f>SUM(T147:T151)</f>
        <v>363950</v>
      </c>
      <c r="U152" s="109"/>
      <c r="V152" s="109"/>
      <c r="W152" s="110">
        <f>SUM(W147:W151)</f>
        <v>354300</v>
      </c>
    </row>
    <row r="153" spans="2:23" ht="21" x14ac:dyDescent="0.35">
      <c r="B153" s="62"/>
      <c r="D153" s="92" t="s">
        <v>138</v>
      </c>
      <c r="E153" s="97"/>
      <c r="F153" s="56"/>
      <c r="G153" s="108">
        <v>92250</v>
      </c>
      <c r="H153" s="108">
        <v>0</v>
      </c>
      <c r="I153" s="108">
        <f t="shared" si="140"/>
        <v>92250</v>
      </c>
      <c r="J153" s="108">
        <v>0</v>
      </c>
      <c r="K153" s="108">
        <f t="shared" ref="K153:K160" si="160">SUM(I153:J153)</f>
        <v>92250</v>
      </c>
      <c r="L153" s="108">
        <v>0</v>
      </c>
      <c r="M153" s="108">
        <f>SUM(K153:L153)</f>
        <v>92250</v>
      </c>
      <c r="N153" s="118"/>
      <c r="O153" s="108">
        <v>0</v>
      </c>
      <c r="P153" s="108">
        <f t="shared" ref="P153" si="161">+M153+O153</f>
        <v>92250</v>
      </c>
      <c r="Q153" s="130"/>
      <c r="R153" s="108">
        <v>92250</v>
      </c>
      <c r="S153" s="108">
        <v>0</v>
      </c>
      <c r="T153" s="108">
        <f t="shared" si="143"/>
        <v>92250</v>
      </c>
      <c r="U153" s="109" t="s">
        <v>139</v>
      </c>
      <c r="V153" s="109"/>
      <c r="W153" s="110">
        <v>92250</v>
      </c>
    </row>
    <row r="154" spans="2:23" ht="21" x14ac:dyDescent="0.35">
      <c r="B154" s="62"/>
      <c r="D154" s="96" t="s">
        <v>140</v>
      </c>
      <c r="E154" s="97"/>
      <c r="F154" s="56"/>
      <c r="G154" s="50"/>
      <c r="H154" s="50"/>
      <c r="I154" s="50"/>
      <c r="J154" s="50"/>
      <c r="K154" s="50"/>
      <c r="L154" s="50"/>
      <c r="M154" s="50"/>
      <c r="N154" s="116"/>
      <c r="O154" s="50"/>
      <c r="P154" s="50"/>
      <c r="Q154" s="125"/>
      <c r="R154" s="50"/>
      <c r="S154" s="50"/>
      <c r="T154" s="50"/>
      <c r="U154" s="39"/>
      <c r="V154" s="39"/>
      <c r="W154" s="40"/>
    </row>
    <row r="155" spans="2:23" ht="21" x14ac:dyDescent="0.35">
      <c r="B155" s="62"/>
      <c r="D155" s="92"/>
      <c r="E155" s="95" t="s">
        <v>237</v>
      </c>
      <c r="F155" s="56"/>
      <c r="G155" s="50">
        <v>138512</v>
      </c>
      <c r="H155" s="46">
        <v>0</v>
      </c>
      <c r="I155" s="46">
        <f t="shared" ref="I155:I158" si="162">SUM(G155:H155)</f>
        <v>138512</v>
      </c>
      <c r="J155" s="46">
        <v>0</v>
      </c>
      <c r="K155" s="46">
        <f t="shared" ref="K155:K158" si="163">SUM(I155:J155)</f>
        <v>138512</v>
      </c>
      <c r="L155" s="46">
        <v>0</v>
      </c>
      <c r="M155" s="46">
        <f t="shared" ref="M155:M158" si="164">SUM(K155:L155)</f>
        <v>138512</v>
      </c>
      <c r="N155" s="116"/>
      <c r="O155" s="46">
        <v>0</v>
      </c>
      <c r="P155" s="46">
        <f t="shared" ref="P155:P158" si="165">+M155+O155</f>
        <v>138512</v>
      </c>
      <c r="Q155" s="125"/>
      <c r="R155" s="50">
        <v>138512</v>
      </c>
      <c r="S155" s="46">
        <v>0</v>
      </c>
      <c r="T155" s="46">
        <f t="shared" ref="T155:T158" si="166">SUM(R155:S155)</f>
        <v>138512</v>
      </c>
      <c r="U155" s="94" t="s">
        <v>238</v>
      </c>
      <c r="V155" s="39" t="s">
        <v>205</v>
      </c>
      <c r="W155" s="40">
        <v>138512</v>
      </c>
    </row>
    <row r="156" spans="2:23" ht="21" x14ac:dyDescent="0.35">
      <c r="B156" s="62"/>
      <c r="D156" s="92"/>
      <c r="E156" s="95" t="s">
        <v>239</v>
      </c>
      <c r="F156" s="56"/>
      <c r="G156" s="50">
        <v>124775</v>
      </c>
      <c r="H156" s="46">
        <v>0</v>
      </c>
      <c r="I156" s="46">
        <f t="shared" si="162"/>
        <v>124775</v>
      </c>
      <c r="J156" s="46">
        <v>0</v>
      </c>
      <c r="K156" s="46">
        <f t="shared" si="163"/>
        <v>124775</v>
      </c>
      <c r="L156" s="46">
        <v>0</v>
      </c>
      <c r="M156" s="46">
        <f t="shared" si="164"/>
        <v>124775</v>
      </c>
      <c r="N156" s="116"/>
      <c r="O156" s="46">
        <v>0</v>
      </c>
      <c r="P156" s="46">
        <f t="shared" si="165"/>
        <v>124775</v>
      </c>
      <c r="Q156" s="125"/>
      <c r="R156" s="50">
        <v>124775</v>
      </c>
      <c r="S156" s="46">
        <v>0</v>
      </c>
      <c r="T156" s="46">
        <f t="shared" si="166"/>
        <v>124775</v>
      </c>
      <c r="U156" s="94" t="s">
        <v>240</v>
      </c>
      <c r="V156" s="39" t="s">
        <v>205</v>
      </c>
      <c r="W156" s="40">
        <v>124775</v>
      </c>
    </row>
    <row r="157" spans="2:23" ht="21" x14ac:dyDescent="0.35">
      <c r="B157" s="62"/>
      <c r="D157" s="92"/>
      <c r="E157" s="95" t="s">
        <v>241</v>
      </c>
      <c r="F157" s="56"/>
      <c r="G157" s="50">
        <v>265180</v>
      </c>
      <c r="H157" s="46">
        <v>0</v>
      </c>
      <c r="I157" s="46">
        <f t="shared" si="162"/>
        <v>265180</v>
      </c>
      <c r="J157" s="46">
        <v>0</v>
      </c>
      <c r="K157" s="46">
        <f t="shared" si="163"/>
        <v>265180</v>
      </c>
      <c r="L157" s="46">
        <v>0</v>
      </c>
      <c r="M157" s="46">
        <f t="shared" si="164"/>
        <v>265180</v>
      </c>
      <c r="N157" s="116"/>
      <c r="O157" s="46">
        <v>0</v>
      </c>
      <c r="P157" s="46">
        <f t="shared" si="165"/>
        <v>265180</v>
      </c>
      <c r="Q157" s="125"/>
      <c r="R157" s="50">
        <v>265180</v>
      </c>
      <c r="S157" s="46">
        <v>0</v>
      </c>
      <c r="T157" s="46">
        <f t="shared" si="166"/>
        <v>265180</v>
      </c>
      <c r="U157" s="94" t="s">
        <v>242</v>
      </c>
      <c r="V157" s="39" t="s">
        <v>205</v>
      </c>
      <c r="W157" s="40">
        <v>265180</v>
      </c>
    </row>
    <row r="158" spans="2:23" ht="21" x14ac:dyDescent="0.35">
      <c r="B158" s="62"/>
      <c r="D158" s="92"/>
      <c r="E158" s="95" t="s">
        <v>243</v>
      </c>
      <c r="F158" s="56"/>
      <c r="G158" s="50">
        <v>62355</v>
      </c>
      <c r="H158" s="46">
        <v>0</v>
      </c>
      <c r="I158" s="46">
        <f t="shared" si="162"/>
        <v>62355</v>
      </c>
      <c r="J158" s="46">
        <v>0</v>
      </c>
      <c r="K158" s="46">
        <f t="shared" si="163"/>
        <v>62355</v>
      </c>
      <c r="L158" s="46">
        <v>0</v>
      </c>
      <c r="M158" s="46">
        <f t="shared" si="164"/>
        <v>62355</v>
      </c>
      <c r="N158" s="116"/>
      <c r="O158" s="46">
        <v>0</v>
      </c>
      <c r="P158" s="46">
        <f t="shared" si="165"/>
        <v>62355</v>
      </c>
      <c r="Q158" s="125"/>
      <c r="R158" s="50">
        <v>62355</v>
      </c>
      <c r="S158" s="46">
        <v>0</v>
      </c>
      <c r="T158" s="46">
        <f t="shared" si="166"/>
        <v>62355</v>
      </c>
      <c r="U158" s="94" t="s">
        <v>244</v>
      </c>
      <c r="V158" s="39" t="s">
        <v>205</v>
      </c>
      <c r="W158" s="40">
        <v>60855</v>
      </c>
    </row>
    <row r="159" spans="2:23" ht="21" x14ac:dyDescent="0.35">
      <c r="B159" s="62"/>
      <c r="D159" s="92" t="s">
        <v>140</v>
      </c>
      <c r="E159" s="62"/>
      <c r="F159" s="48"/>
      <c r="G159" s="108">
        <f>SUM(G155:G158)</f>
        <v>590822</v>
      </c>
      <c r="H159" s="108">
        <f>SUM(H155:H158)</f>
        <v>0</v>
      </c>
      <c r="I159" s="108">
        <f>SUM(I155:I158)</f>
        <v>590822</v>
      </c>
      <c r="J159" s="108">
        <f>SUM(J155:J158)</f>
        <v>0</v>
      </c>
      <c r="K159" s="108">
        <f>SUM(K155:K158)</f>
        <v>590822</v>
      </c>
      <c r="L159" s="108">
        <f>SUM(L155:L158)</f>
        <v>0</v>
      </c>
      <c r="M159" s="108">
        <f>SUM(M155:M158)</f>
        <v>590822</v>
      </c>
      <c r="N159" s="118"/>
      <c r="O159" s="108">
        <f>SUM(O155:O158)</f>
        <v>0</v>
      </c>
      <c r="P159" s="108">
        <f>SUM(P155:P158)</f>
        <v>590822</v>
      </c>
      <c r="Q159" s="130"/>
      <c r="R159" s="108">
        <f>SUM(R155:R158)</f>
        <v>590822</v>
      </c>
      <c r="S159" s="108">
        <f>SUM(S155:S158)</f>
        <v>0</v>
      </c>
      <c r="T159" s="108">
        <f>SUM(T155:T158)</f>
        <v>590822</v>
      </c>
      <c r="U159" s="109"/>
      <c r="V159" s="109"/>
      <c r="W159" s="110">
        <f>SUM(W155:W158)</f>
        <v>589322</v>
      </c>
    </row>
    <row r="160" spans="2:23" ht="21" x14ac:dyDescent="0.35">
      <c r="B160" s="62"/>
      <c r="D160" s="92" t="s">
        <v>141</v>
      </c>
      <c r="E160" s="97"/>
      <c r="F160" s="56"/>
      <c r="G160" s="108">
        <v>99526</v>
      </c>
      <c r="H160" s="108">
        <v>0</v>
      </c>
      <c r="I160" s="108">
        <f t="shared" si="140"/>
        <v>99526</v>
      </c>
      <c r="J160" s="108">
        <v>0</v>
      </c>
      <c r="K160" s="108">
        <f t="shared" si="160"/>
        <v>99526</v>
      </c>
      <c r="L160" s="108">
        <v>0</v>
      </c>
      <c r="M160" s="108">
        <f>SUM(K160:L160)</f>
        <v>99526</v>
      </c>
      <c r="N160" s="118"/>
      <c r="O160" s="108">
        <v>0</v>
      </c>
      <c r="P160" s="108">
        <f t="shared" ref="P160" si="167">+M160+O160</f>
        <v>99526</v>
      </c>
      <c r="Q160" s="130"/>
      <c r="R160" s="108">
        <v>99526</v>
      </c>
      <c r="S160" s="108">
        <v>0</v>
      </c>
      <c r="T160" s="108">
        <f t="shared" si="143"/>
        <v>99526</v>
      </c>
      <c r="U160" s="109" t="s">
        <v>245</v>
      </c>
      <c r="V160" s="109"/>
      <c r="W160" s="110"/>
    </row>
    <row r="161" spans="2:23" ht="21" x14ac:dyDescent="0.35">
      <c r="B161" s="62"/>
      <c r="D161" s="96" t="s">
        <v>142</v>
      </c>
      <c r="E161" s="97"/>
      <c r="F161" s="56"/>
      <c r="G161" s="50"/>
      <c r="H161" s="50"/>
      <c r="I161" s="50"/>
      <c r="J161" s="50"/>
      <c r="K161" s="50"/>
      <c r="L161" s="50"/>
      <c r="M161" s="50"/>
      <c r="N161" s="116"/>
      <c r="O161" s="50"/>
      <c r="P161" s="50"/>
      <c r="Q161" s="125"/>
      <c r="R161" s="50"/>
      <c r="S161" s="50"/>
      <c r="T161" s="50"/>
      <c r="U161" s="39"/>
      <c r="V161" s="39"/>
      <c r="W161" s="40"/>
    </row>
    <row r="162" spans="2:23" ht="21" x14ac:dyDescent="0.35">
      <c r="B162" s="62"/>
      <c r="D162" s="92"/>
      <c r="E162" s="95" t="s">
        <v>246</v>
      </c>
      <c r="F162" s="56"/>
      <c r="G162" s="50">
        <v>33000</v>
      </c>
      <c r="H162" s="50">
        <v>0</v>
      </c>
      <c r="I162" s="50">
        <f t="shared" ref="I162:I167" si="168">SUM(G162:H162)</f>
        <v>33000</v>
      </c>
      <c r="J162" s="50">
        <v>0</v>
      </c>
      <c r="K162" s="50">
        <f t="shared" ref="K162" si="169">SUM(I162:J162)</f>
        <v>33000</v>
      </c>
      <c r="L162" s="50">
        <v>0</v>
      </c>
      <c r="M162" s="50">
        <f t="shared" ref="M162" si="170">SUM(K162:L162)</f>
        <v>33000</v>
      </c>
      <c r="N162" s="116"/>
      <c r="O162" s="50">
        <v>0</v>
      </c>
      <c r="P162" s="50">
        <f t="shared" ref="P162:P167" si="171">+M162+O162</f>
        <v>33000</v>
      </c>
      <c r="Q162" s="125"/>
      <c r="R162" s="50">
        <v>33000</v>
      </c>
      <c r="S162" s="50">
        <v>0</v>
      </c>
      <c r="T162" s="50">
        <f t="shared" ref="T162:T167" si="172">SUM(R162:S162)</f>
        <v>33000</v>
      </c>
      <c r="U162" s="94" t="s">
        <v>144</v>
      </c>
      <c r="V162" s="39" t="s">
        <v>236</v>
      </c>
      <c r="W162" s="40">
        <v>15000</v>
      </c>
    </row>
    <row r="163" spans="2:23" ht="21" x14ac:dyDescent="0.35">
      <c r="B163" s="62"/>
      <c r="D163" s="92"/>
      <c r="E163" s="95" t="s">
        <v>145</v>
      </c>
      <c r="F163" s="56"/>
      <c r="G163" s="50">
        <v>23245</v>
      </c>
      <c r="H163" s="50">
        <v>0</v>
      </c>
      <c r="I163" s="50">
        <f t="shared" si="168"/>
        <v>23245</v>
      </c>
      <c r="J163" s="50">
        <v>0</v>
      </c>
      <c r="K163" s="50">
        <f t="shared" ref="K163" si="173">SUM(I163:J163)</f>
        <v>23245</v>
      </c>
      <c r="L163" s="50">
        <v>0</v>
      </c>
      <c r="M163" s="50">
        <f t="shared" ref="M163" si="174">SUM(K163:L163)</f>
        <v>23245</v>
      </c>
      <c r="N163" s="116"/>
      <c r="O163" s="50">
        <v>0</v>
      </c>
      <c r="P163" s="50">
        <f t="shared" si="171"/>
        <v>23245</v>
      </c>
      <c r="Q163" s="125"/>
      <c r="R163" s="50">
        <v>23245</v>
      </c>
      <c r="S163" s="50">
        <v>0</v>
      </c>
      <c r="T163" s="50">
        <f t="shared" si="172"/>
        <v>23245</v>
      </c>
      <c r="U163" s="94" t="s">
        <v>146</v>
      </c>
      <c r="V163" s="39" t="s">
        <v>236</v>
      </c>
      <c r="W163" s="40">
        <v>14800</v>
      </c>
    </row>
    <row r="164" spans="2:23" ht="21" x14ac:dyDescent="0.35">
      <c r="B164" s="62"/>
      <c r="D164" s="92"/>
      <c r="E164" s="95" t="s">
        <v>247</v>
      </c>
      <c r="F164" s="56"/>
      <c r="G164" s="50">
        <v>8965</v>
      </c>
      <c r="H164" s="50">
        <v>0</v>
      </c>
      <c r="I164" s="50">
        <f t="shared" si="168"/>
        <v>8965</v>
      </c>
      <c r="J164" s="50">
        <v>0</v>
      </c>
      <c r="K164" s="50">
        <f t="shared" ref="K164:K167" si="175">SUM(I164:J164)</f>
        <v>8965</v>
      </c>
      <c r="L164" s="50">
        <v>0</v>
      </c>
      <c r="M164" s="50">
        <f t="shared" ref="M164:M167" si="176">SUM(K164:L164)</f>
        <v>8965</v>
      </c>
      <c r="N164" s="116"/>
      <c r="O164" s="50">
        <v>0</v>
      </c>
      <c r="P164" s="50">
        <f t="shared" si="171"/>
        <v>8965</v>
      </c>
      <c r="Q164" s="125"/>
      <c r="R164" s="50">
        <v>8965</v>
      </c>
      <c r="S164" s="50">
        <v>0</v>
      </c>
      <c r="T164" s="50">
        <f t="shared" si="172"/>
        <v>8965</v>
      </c>
      <c r="U164" s="94" t="s">
        <v>248</v>
      </c>
      <c r="V164" s="39" t="s">
        <v>206</v>
      </c>
      <c r="W164" s="40">
        <v>8965</v>
      </c>
    </row>
    <row r="165" spans="2:23" ht="21" x14ac:dyDescent="0.35">
      <c r="B165" s="62"/>
      <c r="D165" s="92"/>
      <c r="E165" s="95" t="s">
        <v>249</v>
      </c>
      <c r="F165" s="56"/>
      <c r="G165" s="50">
        <v>83086</v>
      </c>
      <c r="H165" s="50">
        <v>0</v>
      </c>
      <c r="I165" s="50">
        <f t="shared" si="168"/>
        <v>83086</v>
      </c>
      <c r="J165" s="50">
        <v>0</v>
      </c>
      <c r="K165" s="50">
        <f t="shared" si="175"/>
        <v>83086</v>
      </c>
      <c r="L165" s="50">
        <v>0</v>
      </c>
      <c r="M165" s="50">
        <f t="shared" si="176"/>
        <v>83086</v>
      </c>
      <c r="N165" s="116"/>
      <c r="O165" s="50">
        <v>0</v>
      </c>
      <c r="P165" s="50">
        <f t="shared" si="171"/>
        <v>83086</v>
      </c>
      <c r="Q165" s="125"/>
      <c r="R165" s="50">
        <v>83086</v>
      </c>
      <c r="S165" s="50">
        <v>0</v>
      </c>
      <c r="T165" s="50">
        <f t="shared" si="172"/>
        <v>83086</v>
      </c>
      <c r="U165" s="94" t="s">
        <v>250</v>
      </c>
      <c r="V165" s="39" t="s">
        <v>205</v>
      </c>
      <c r="W165" s="40">
        <v>83086</v>
      </c>
    </row>
    <row r="166" spans="2:23" ht="21" x14ac:dyDescent="0.35">
      <c r="B166" s="62"/>
      <c r="D166" s="92"/>
      <c r="E166" s="95" t="s">
        <v>251</v>
      </c>
      <c r="F166" s="56"/>
      <c r="G166" s="50">
        <v>1700</v>
      </c>
      <c r="H166" s="50">
        <v>0</v>
      </c>
      <c r="I166" s="50">
        <f t="shared" si="168"/>
        <v>1700</v>
      </c>
      <c r="J166" s="50">
        <v>0</v>
      </c>
      <c r="K166" s="50">
        <f t="shared" si="175"/>
        <v>1700</v>
      </c>
      <c r="L166" s="50">
        <v>0</v>
      </c>
      <c r="M166" s="50">
        <f t="shared" si="176"/>
        <v>1700</v>
      </c>
      <c r="N166" s="116"/>
      <c r="O166" s="50">
        <v>0</v>
      </c>
      <c r="P166" s="50">
        <f t="shared" si="171"/>
        <v>1700</v>
      </c>
      <c r="Q166" s="125"/>
      <c r="R166" s="50">
        <v>1700</v>
      </c>
      <c r="S166" s="50">
        <v>0</v>
      </c>
      <c r="T166" s="50">
        <f t="shared" si="172"/>
        <v>1700</v>
      </c>
      <c r="U166" s="94" t="s">
        <v>252</v>
      </c>
      <c r="V166" s="39" t="s">
        <v>205</v>
      </c>
      <c r="W166" s="40">
        <v>1700</v>
      </c>
    </row>
    <row r="167" spans="2:23" ht="21" x14ac:dyDescent="0.35">
      <c r="B167" s="62"/>
      <c r="D167" s="92"/>
      <c r="E167" s="95" t="s">
        <v>147</v>
      </c>
      <c r="F167" s="56"/>
      <c r="G167" s="50">
        <v>1708</v>
      </c>
      <c r="H167" s="50">
        <v>0</v>
      </c>
      <c r="I167" s="50">
        <f t="shared" si="168"/>
        <v>1708</v>
      </c>
      <c r="J167" s="50">
        <v>0</v>
      </c>
      <c r="K167" s="50">
        <f t="shared" si="175"/>
        <v>1708</v>
      </c>
      <c r="L167" s="50">
        <v>0</v>
      </c>
      <c r="M167" s="50">
        <f t="shared" si="176"/>
        <v>1708</v>
      </c>
      <c r="N167" s="116"/>
      <c r="O167" s="50">
        <v>0</v>
      </c>
      <c r="P167" s="50">
        <f t="shared" si="171"/>
        <v>1708</v>
      </c>
      <c r="Q167" s="125"/>
      <c r="R167" s="50">
        <v>1708</v>
      </c>
      <c r="S167" s="50">
        <v>0</v>
      </c>
      <c r="T167" s="50">
        <f t="shared" si="172"/>
        <v>1708</v>
      </c>
      <c r="U167" s="94" t="s">
        <v>148</v>
      </c>
      <c r="V167" s="39" t="s">
        <v>205</v>
      </c>
      <c r="W167" s="40">
        <v>1708</v>
      </c>
    </row>
    <row r="168" spans="2:23" ht="21" x14ac:dyDescent="0.35">
      <c r="B168" s="62"/>
      <c r="D168" s="92" t="s">
        <v>142</v>
      </c>
      <c r="E168" s="62"/>
      <c r="F168" s="48"/>
      <c r="G168" s="108">
        <f>SUM(G162:G167)</f>
        <v>151704</v>
      </c>
      <c r="H168" s="108">
        <f>SUM(H162:H167)</f>
        <v>0</v>
      </c>
      <c r="I168" s="108">
        <f>SUM(I162:I167)</f>
        <v>151704</v>
      </c>
      <c r="J168" s="108">
        <f>SUM(J162:J167)</f>
        <v>0</v>
      </c>
      <c r="K168" s="108">
        <f>SUM(K162:K167)</f>
        <v>151704</v>
      </c>
      <c r="L168" s="108">
        <f>SUM(L162:L167)</f>
        <v>0</v>
      </c>
      <c r="M168" s="108">
        <f>SUM(M162:M167)</f>
        <v>151704</v>
      </c>
      <c r="N168" s="118"/>
      <c r="O168" s="108">
        <f>SUM(O162:O167)</f>
        <v>0</v>
      </c>
      <c r="P168" s="108">
        <f>SUM(P162:P167)</f>
        <v>151704</v>
      </c>
      <c r="Q168" s="130"/>
      <c r="R168" s="108">
        <f>SUM(R162:R167)</f>
        <v>151704</v>
      </c>
      <c r="S168" s="108">
        <f>SUM(S162:S167)</f>
        <v>0</v>
      </c>
      <c r="T168" s="108">
        <f>SUM(T162:T167)</f>
        <v>151704</v>
      </c>
      <c r="U168" s="109"/>
      <c r="V168" s="109"/>
      <c r="W168" s="110">
        <f>SUM(W162:W167)</f>
        <v>125259</v>
      </c>
    </row>
    <row r="169" spans="2:23" ht="21" x14ac:dyDescent="0.35">
      <c r="B169" s="62"/>
      <c r="D169" s="96" t="s">
        <v>149</v>
      </c>
      <c r="E169" s="97"/>
      <c r="F169" s="56"/>
      <c r="G169" s="50"/>
      <c r="H169" s="50"/>
      <c r="I169" s="50"/>
      <c r="J169" s="50"/>
      <c r="K169" s="50"/>
      <c r="L169" s="50"/>
      <c r="M169" s="50"/>
      <c r="N169" s="116"/>
      <c r="O169" s="50"/>
      <c r="P169" s="50"/>
      <c r="Q169" s="125"/>
      <c r="R169" s="50"/>
      <c r="S169" s="50"/>
      <c r="T169" s="50"/>
      <c r="U169" s="39"/>
      <c r="V169" s="39"/>
      <c r="W169" s="40"/>
    </row>
    <row r="170" spans="2:23" ht="21" x14ac:dyDescent="0.35">
      <c r="B170" s="62"/>
      <c r="D170" s="92"/>
      <c r="E170" s="95" t="s">
        <v>150</v>
      </c>
      <c r="F170" s="56"/>
      <c r="G170" s="40">
        <v>3870</v>
      </c>
      <c r="H170" s="50">
        <v>0</v>
      </c>
      <c r="I170" s="50">
        <f t="shared" si="140"/>
        <v>3870</v>
      </c>
      <c r="J170" s="50">
        <v>0</v>
      </c>
      <c r="K170" s="50">
        <f t="shared" ref="K170:K171" si="177">SUM(I170:J170)</f>
        <v>3870</v>
      </c>
      <c r="L170" s="50">
        <v>0</v>
      </c>
      <c r="M170" s="50">
        <f t="shared" ref="M170:M171" si="178">SUM(K170:L170)</f>
        <v>3870</v>
      </c>
      <c r="N170" s="116"/>
      <c r="O170" s="50">
        <v>0</v>
      </c>
      <c r="P170" s="50">
        <f t="shared" ref="P170:P172" si="179">+M170+O170</f>
        <v>3870</v>
      </c>
      <c r="Q170" s="125"/>
      <c r="R170" s="40">
        <v>3870</v>
      </c>
      <c r="S170" s="50">
        <v>0</v>
      </c>
      <c r="T170" s="50">
        <f t="shared" ref="T170:T172" si="180">SUM(R170:S170)</f>
        <v>3870</v>
      </c>
      <c r="U170" s="94" t="s">
        <v>151</v>
      </c>
      <c r="V170" s="39" t="s">
        <v>206</v>
      </c>
      <c r="W170" s="40">
        <v>3870</v>
      </c>
    </row>
    <row r="171" spans="2:23" ht="21" x14ac:dyDescent="0.35">
      <c r="B171" s="62"/>
      <c r="D171" s="92"/>
      <c r="E171" s="95" t="s">
        <v>152</v>
      </c>
      <c r="F171" s="56"/>
      <c r="G171" s="40">
        <v>54500</v>
      </c>
      <c r="H171" s="50">
        <v>0</v>
      </c>
      <c r="I171" s="50">
        <f t="shared" si="140"/>
        <v>54500</v>
      </c>
      <c r="J171" s="50">
        <v>0</v>
      </c>
      <c r="K171" s="50">
        <f t="shared" si="177"/>
        <v>54500</v>
      </c>
      <c r="L171" s="50">
        <v>0</v>
      </c>
      <c r="M171" s="50">
        <f t="shared" si="178"/>
        <v>54500</v>
      </c>
      <c r="N171" s="116"/>
      <c r="O171" s="50">
        <v>0</v>
      </c>
      <c r="P171" s="50">
        <f t="shared" si="179"/>
        <v>54500</v>
      </c>
      <c r="Q171" s="125"/>
      <c r="R171" s="40">
        <v>54500</v>
      </c>
      <c r="S171" s="50">
        <v>0</v>
      </c>
      <c r="T171" s="50">
        <f t="shared" si="180"/>
        <v>54500</v>
      </c>
      <c r="U171" s="94" t="s">
        <v>153</v>
      </c>
      <c r="V171" s="39" t="s">
        <v>206</v>
      </c>
      <c r="W171" s="40">
        <v>4000</v>
      </c>
    </row>
    <row r="172" spans="2:23" ht="21" x14ac:dyDescent="0.35">
      <c r="B172" s="62"/>
      <c r="D172" s="92"/>
      <c r="E172" s="95" t="s">
        <v>154</v>
      </c>
      <c r="F172" s="56"/>
      <c r="G172" s="40">
        <v>28000</v>
      </c>
      <c r="H172" s="50">
        <v>0</v>
      </c>
      <c r="I172" s="50">
        <f t="shared" si="140"/>
        <v>28000</v>
      </c>
      <c r="J172" s="50">
        <v>0</v>
      </c>
      <c r="K172" s="50">
        <f t="shared" ref="K172" si="181">SUM(I172:J172)</f>
        <v>28000</v>
      </c>
      <c r="L172" s="50">
        <v>0</v>
      </c>
      <c r="M172" s="50">
        <f t="shared" ref="M172" si="182">SUM(K172:L172)</f>
        <v>28000</v>
      </c>
      <c r="N172" s="116"/>
      <c r="O172" s="50">
        <v>0</v>
      </c>
      <c r="P172" s="50">
        <f t="shared" si="179"/>
        <v>28000</v>
      </c>
      <c r="Q172" s="125"/>
      <c r="R172" s="40">
        <v>28000</v>
      </c>
      <c r="S172" s="50">
        <v>0</v>
      </c>
      <c r="T172" s="50">
        <f t="shared" si="180"/>
        <v>28000</v>
      </c>
      <c r="U172" s="94" t="s">
        <v>155</v>
      </c>
      <c r="V172" s="39" t="s">
        <v>206</v>
      </c>
      <c r="W172" s="40">
        <v>28000</v>
      </c>
    </row>
    <row r="173" spans="2:23" ht="21" x14ac:dyDescent="0.35">
      <c r="B173" s="62"/>
      <c r="D173" s="92" t="s">
        <v>149</v>
      </c>
      <c r="E173" s="62"/>
      <c r="F173" s="48"/>
      <c r="G173" s="108">
        <f>SUM(G170:G172)</f>
        <v>86370</v>
      </c>
      <c r="H173" s="108">
        <f>SUM(H170:H172)</f>
        <v>0</v>
      </c>
      <c r="I173" s="108">
        <f>SUM(I170:I172)</f>
        <v>86370</v>
      </c>
      <c r="J173" s="108">
        <f>SUM(J170:J172)</f>
        <v>0</v>
      </c>
      <c r="K173" s="108">
        <f>SUM(K170:K172)</f>
        <v>86370</v>
      </c>
      <c r="L173" s="108">
        <f>SUM(L170:L172)</f>
        <v>0</v>
      </c>
      <c r="M173" s="108">
        <f>SUM(M170:M172)</f>
        <v>86370</v>
      </c>
      <c r="N173" s="118"/>
      <c r="O173" s="108">
        <f>SUM(O170:O172)</f>
        <v>0</v>
      </c>
      <c r="P173" s="108">
        <f>SUM(P170:P172)</f>
        <v>86370</v>
      </c>
      <c r="Q173" s="130"/>
      <c r="R173" s="108">
        <f>SUM(R170:R172)</f>
        <v>86370</v>
      </c>
      <c r="S173" s="108">
        <f>SUM(S170:S172)</f>
        <v>0</v>
      </c>
      <c r="T173" s="108">
        <f>SUM(T170:T172)</f>
        <v>86370</v>
      </c>
      <c r="U173" s="109"/>
      <c r="V173" s="109"/>
      <c r="W173" s="110">
        <f>SUM(W170:W172)</f>
        <v>35870</v>
      </c>
    </row>
    <row r="174" spans="2:23" ht="21" x14ac:dyDescent="0.35">
      <c r="B174" s="62"/>
      <c r="D174" s="96" t="s">
        <v>156</v>
      </c>
      <c r="E174" s="97"/>
      <c r="F174" s="56"/>
      <c r="G174" s="50"/>
      <c r="H174" s="50"/>
      <c r="I174" s="50"/>
      <c r="J174" s="50"/>
      <c r="K174" s="50"/>
      <c r="L174" s="50"/>
      <c r="M174" s="50"/>
      <c r="N174" s="116"/>
      <c r="O174" s="50"/>
      <c r="P174" s="50"/>
      <c r="Q174" s="125"/>
      <c r="R174" s="50"/>
      <c r="S174" s="50"/>
      <c r="T174" s="50"/>
      <c r="U174" s="39"/>
      <c r="V174" s="39"/>
      <c r="W174" s="40"/>
    </row>
    <row r="175" spans="2:23" ht="21" x14ac:dyDescent="0.35">
      <c r="B175" s="62"/>
      <c r="D175" s="92"/>
      <c r="E175" s="95" t="s">
        <v>157</v>
      </c>
      <c r="F175" s="56"/>
      <c r="G175" s="50">
        <v>5300</v>
      </c>
      <c r="H175" s="50">
        <v>0</v>
      </c>
      <c r="I175" s="50">
        <f t="shared" si="140"/>
        <v>5300</v>
      </c>
      <c r="J175" s="50">
        <v>0</v>
      </c>
      <c r="K175" s="50">
        <f t="shared" ref="K175" si="183">SUM(I175:J175)</f>
        <v>5300</v>
      </c>
      <c r="L175" s="50">
        <v>0</v>
      </c>
      <c r="M175" s="50">
        <f t="shared" ref="M175" si="184">SUM(K175:L175)</f>
        <v>5300</v>
      </c>
      <c r="N175" s="116"/>
      <c r="O175" s="50">
        <v>0</v>
      </c>
      <c r="P175" s="50">
        <f t="shared" ref="P175:P183" si="185">+M175+O175</f>
        <v>5300</v>
      </c>
      <c r="Q175" s="125"/>
      <c r="R175" s="50">
        <v>5300</v>
      </c>
      <c r="S175" s="50">
        <v>0</v>
      </c>
      <c r="T175" s="50">
        <f t="shared" ref="T175:T183" si="186">SUM(R175:S175)</f>
        <v>5300</v>
      </c>
      <c r="U175" s="94" t="s">
        <v>158</v>
      </c>
      <c r="V175" s="39" t="s">
        <v>206</v>
      </c>
      <c r="W175" s="40">
        <v>1000</v>
      </c>
    </row>
    <row r="176" spans="2:23" ht="21" x14ac:dyDescent="0.35">
      <c r="B176" s="62"/>
      <c r="D176" s="92"/>
      <c r="E176" s="95" t="s">
        <v>159</v>
      </c>
      <c r="F176" s="56"/>
      <c r="G176" s="50">
        <v>1200</v>
      </c>
      <c r="H176" s="50">
        <v>0</v>
      </c>
      <c r="I176" s="50">
        <f t="shared" ref="I176:I183" si="187">SUM(G176:H176)</f>
        <v>1200</v>
      </c>
      <c r="J176" s="50">
        <v>0</v>
      </c>
      <c r="K176" s="50">
        <f t="shared" ref="K176" si="188">SUM(I176:J176)</f>
        <v>1200</v>
      </c>
      <c r="L176" s="50">
        <v>0</v>
      </c>
      <c r="M176" s="50">
        <f t="shared" ref="M176" si="189">SUM(K176:L176)</f>
        <v>1200</v>
      </c>
      <c r="N176" s="116"/>
      <c r="O176" s="50">
        <v>0</v>
      </c>
      <c r="P176" s="50">
        <f t="shared" si="185"/>
        <v>1200</v>
      </c>
      <c r="Q176" s="125"/>
      <c r="R176" s="50">
        <v>1200</v>
      </c>
      <c r="S176" s="50">
        <v>0</v>
      </c>
      <c r="T176" s="50">
        <f t="shared" si="186"/>
        <v>1200</v>
      </c>
      <c r="U176" s="94" t="s">
        <v>160</v>
      </c>
      <c r="V176" s="39" t="s">
        <v>206</v>
      </c>
      <c r="W176" s="40">
        <v>1000</v>
      </c>
    </row>
    <row r="177" spans="2:23" ht="21" x14ac:dyDescent="0.35">
      <c r="B177" s="62"/>
      <c r="D177" s="92"/>
      <c r="E177" s="95" t="s">
        <v>253</v>
      </c>
      <c r="F177" s="56"/>
      <c r="G177" s="50">
        <v>5000</v>
      </c>
      <c r="H177" s="50">
        <v>0</v>
      </c>
      <c r="I177" s="50">
        <f t="shared" si="187"/>
        <v>5000</v>
      </c>
      <c r="J177" s="50">
        <v>0</v>
      </c>
      <c r="K177" s="50">
        <f t="shared" ref="K177" si="190">SUM(I177:J177)</f>
        <v>5000</v>
      </c>
      <c r="L177" s="50">
        <v>0</v>
      </c>
      <c r="M177" s="50">
        <f t="shared" ref="M177" si="191">SUM(K177:L177)</f>
        <v>5000</v>
      </c>
      <c r="N177" s="116"/>
      <c r="O177" s="50">
        <v>0</v>
      </c>
      <c r="P177" s="50">
        <f t="shared" si="185"/>
        <v>5000</v>
      </c>
      <c r="Q177" s="125"/>
      <c r="R177" s="50">
        <v>5000</v>
      </c>
      <c r="S177" s="50">
        <v>0</v>
      </c>
      <c r="T177" s="50">
        <f t="shared" si="186"/>
        <v>5000</v>
      </c>
      <c r="U177" s="94" t="s">
        <v>254</v>
      </c>
      <c r="V177" s="39" t="s">
        <v>205</v>
      </c>
      <c r="W177" s="40">
        <v>2000</v>
      </c>
    </row>
    <row r="178" spans="2:23" ht="21" x14ac:dyDescent="0.35">
      <c r="B178" s="62"/>
      <c r="D178" s="92"/>
      <c r="E178" s="93" t="s">
        <v>255</v>
      </c>
      <c r="F178" s="56"/>
      <c r="G178" s="50">
        <v>10250</v>
      </c>
      <c r="H178" s="50">
        <v>0</v>
      </c>
      <c r="I178" s="50">
        <f t="shared" si="187"/>
        <v>10250</v>
      </c>
      <c r="J178" s="50">
        <v>0</v>
      </c>
      <c r="K178" s="50">
        <f t="shared" ref="K178" si="192">SUM(I178:J178)</f>
        <v>10250</v>
      </c>
      <c r="L178" s="50">
        <v>0</v>
      </c>
      <c r="M178" s="50">
        <f t="shared" ref="M178" si="193">SUM(K178:L178)</f>
        <v>10250</v>
      </c>
      <c r="N178" s="116"/>
      <c r="O178" s="50">
        <v>0</v>
      </c>
      <c r="P178" s="50">
        <f t="shared" si="185"/>
        <v>10250</v>
      </c>
      <c r="Q178" s="125"/>
      <c r="R178" s="50">
        <v>10250</v>
      </c>
      <c r="S178" s="50">
        <v>0</v>
      </c>
      <c r="T178" s="50">
        <f t="shared" si="186"/>
        <v>10250</v>
      </c>
      <c r="U178" s="94" t="s">
        <v>162</v>
      </c>
      <c r="V178" s="39" t="s">
        <v>206</v>
      </c>
      <c r="W178" s="40">
        <v>8750</v>
      </c>
    </row>
    <row r="179" spans="2:23" ht="21" x14ac:dyDescent="0.35">
      <c r="B179" s="62"/>
      <c r="D179" s="92"/>
      <c r="E179" s="95" t="s">
        <v>256</v>
      </c>
      <c r="F179" s="56"/>
      <c r="G179" s="50">
        <v>4000</v>
      </c>
      <c r="H179" s="50">
        <v>0</v>
      </c>
      <c r="I179" s="50">
        <f t="shared" si="187"/>
        <v>4000</v>
      </c>
      <c r="J179" s="50">
        <v>0</v>
      </c>
      <c r="K179" s="50">
        <f t="shared" ref="K179:K180" si="194">SUM(I179:J179)</f>
        <v>4000</v>
      </c>
      <c r="L179" s="50">
        <v>0</v>
      </c>
      <c r="M179" s="50">
        <f t="shared" ref="M179:M180" si="195">SUM(K179:L179)</f>
        <v>4000</v>
      </c>
      <c r="N179" s="116"/>
      <c r="O179" s="50">
        <v>0</v>
      </c>
      <c r="P179" s="50">
        <f t="shared" si="185"/>
        <v>4000</v>
      </c>
      <c r="Q179" s="125"/>
      <c r="R179" s="50">
        <v>4000</v>
      </c>
      <c r="S179" s="50">
        <v>0</v>
      </c>
      <c r="T179" s="50">
        <f t="shared" si="186"/>
        <v>4000</v>
      </c>
      <c r="U179" s="94" t="s">
        <v>257</v>
      </c>
      <c r="V179" s="39" t="s">
        <v>206</v>
      </c>
      <c r="W179" s="40">
        <v>4000</v>
      </c>
    </row>
    <row r="180" spans="2:23" ht="21" x14ac:dyDescent="0.35">
      <c r="B180" s="62"/>
      <c r="D180" s="92"/>
      <c r="E180" s="95" t="s">
        <v>163</v>
      </c>
      <c r="F180" s="56"/>
      <c r="G180" s="50">
        <v>34323</v>
      </c>
      <c r="H180" s="50">
        <v>0</v>
      </c>
      <c r="I180" s="50">
        <f t="shared" si="187"/>
        <v>34323</v>
      </c>
      <c r="J180" s="50">
        <v>0</v>
      </c>
      <c r="K180" s="50">
        <f t="shared" si="194"/>
        <v>34323</v>
      </c>
      <c r="L180" s="50">
        <v>0</v>
      </c>
      <c r="M180" s="50">
        <f t="shared" si="195"/>
        <v>34323</v>
      </c>
      <c r="N180" s="116"/>
      <c r="O180" s="50">
        <v>0</v>
      </c>
      <c r="P180" s="50">
        <f t="shared" si="185"/>
        <v>34323</v>
      </c>
      <c r="Q180" s="125"/>
      <c r="R180" s="50">
        <v>34323</v>
      </c>
      <c r="S180" s="50">
        <v>0</v>
      </c>
      <c r="T180" s="50">
        <f t="shared" si="186"/>
        <v>34323</v>
      </c>
      <c r="U180" s="94" t="s">
        <v>164</v>
      </c>
      <c r="V180" s="39" t="s">
        <v>206</v>
      </c>
      <c r="W180" s="40">
        <v>30653</v>
      </c>
    </row>
    <row r="181" spans="2:23" ht="21" x14ac:dyDescent="0.35">
      <c r="B181" s="62"/>
      <c r="D181" s="92"/>
      <c r="E181" s="95" t="s">
        <v>165</v>
      </c>
      <c r="F181" s="56"/>
      <c r="G181" s="50">
        <v>19250</v>
      </c>
      <c r="H181" s="50">
        <v>0</v>
      </c>
      <c r="I181" s="50">
        <f t="shared" si="187"/>
        <v>19250</v>
      </c>
      <c r="J181" s="50">
        <v>0</v>
      </c>
      <c r="K181" s="50">
        <f t="shared" ref="K181" si="196">SUM(I181:J181)</f>
        <v>19250</v>
      </c>
      <c r="L181" s="50">
        <v>0</v>
      </c>
      <c r="M181" s="50">
        <f t="shared" ref="M181" si="197">SUM(K181:L181)</f>
        <v>19250</v>
      </c>
      <c r="N181" s="116"/>
      <c r="O181" s="50">
        <v>0</v>
      </c>
      <c r="P181" s="50">
        <f t="shared" si="185"/>
        <v>19250</v>
      </c>
      <c r="Q181" s="125"/>
      <c r="R181" s="50">
        <v>19250</v>
      </c>
      <c r="S181" s="50">
        <v>0</v>
      </c>
      <c r="T181" s="50">
        <f t="shared" si="186"/>
        <v>19250</v>
      </c>
      <c r="U181" s="94" t="s">
        <v>166</v>
      </c>
      <c r="V181" s="39" t="s">
        <v>205</v>
      </c>
      <c r="W181" s="40">
        <v>2000</v>
      </c>
    </row>
    <row r="182" spans="2:23" ht="21" x14ac:dyDescent="0.35">
      <c r="B182" s="62"/>
      <c r="D182" s="92"/>
      <c r="E182" s="93" t="s">
        <v>258</v>
      </c>
      <c r="F182" s="56"/>
      <c r="G182" s="50">
        <v>36064</v>
      </c>
      <c r="H182" s="50">
        <v>0</v>
      </c>
      <c r="I182" s="50">
        <f t="shared" si="187"/>
        <v>36064</v>
      </c>
      <c r="J182" s="50">
        <v>0</v>
      </c>
      <c r="K182" s="50">
        <f t="shared" ref="K182" si="198">SUM(I182:J182)</f>
        <v>36064</v>
      </c>
      <c r="L182" s="50">
        <v>0</v>
      </c>
      <c r="M182" s="50">
        <f t="shared" ref="M182" si="199">SUM(K182:L182)</f>
        <v>36064</v>
      </c>
      <c r="N182" s="116"/>
      <c r="O182" s="50">
        <v>0</v>
      </c>
      <c r="P182" s="50">
        <f t="shared" si="185"/>
        <v>36064</v>
      </c>
      <c r="Q182" s="125"/>
      <c r="R182" s="50">
        <v>36064</v>
      </c>
      <c r="S182" s="50">
        <v>0</v>
      </c>
      <c r="T182" s="50">
        <f t="shared" si="186"/>
        <v>36064</v>
      </c>
      <c r="U182" s="94" t="s">
        <v>168</v>
      </c>
      <c r="V182" s="39" t="s">
        <v>206</v>
      </c>
      <c r="W182" s="40">
        <v>7300</v>
      </c>
    </row>
    <row r="183" spans="2:23" ht="21" x14ac:dyDescent="0.35">
      <c r="B183" s="62"/>
      <c r="D183" s="92"/>
      <c r="E183" s="93" t="s">
        <v>259</v>
      </c>
      <c r="F183" s="56"/>
      <c r="G183" s="50">
        <v>675</v>
      </c>
      <c r="H183" s="50">
        <v>0</v>
      </c>
      <c r="I183" s="50">
        <f t="shared" si="187"/>
        <v>675</v>
      </c>
      <c r="J183" s="50">
        <v>0</v>
      </c>
      <c r="K183" s="50">
        <f t="shared" ref="K183" si="200">SUM(I183:J183)</f>
        <v>675</v>
      </c>
      <c r="L183" s="50">
        <v>0</v>
      </c>
      <c r="M183" s="50">
        <f t="shared" ref="M183" si="201">SUM(K183:L183)</f>
        <v>675</v>
      </c>
      <c r="N183" s="116"/>
      <c r="O183" s="50">
        <v>0</v>
      </c>
      <c r="P183" s="50">
        <f t="shared" si="185"/>
        <v>675</v>
      </c>
      <c r="Q183" s="125"/>
      <c r="R183" s="50">
        <v>675</v>
      </c>
      <c r="S183" s="50">
        <v>0</v>
      </c>
      <c r="T183" s="50">
        <f t="shared" si="186"/>
        <v>675</v>
      </c>
      <c r="U183" s="94" t="s">
        <v>170</v>
      </c>
      <c r="V183" s="39" t="s">
        <v>206</v>
      </c>
      <c r="W183" s="40">
        <v>275</v>
      </c>
    </row>
    <row r="184" spans="2:23" ht="21" x14ac:dyDescent="0.35">
      <c r="B184" s="62"/>
      <c r="D184" s="92" t="s">
        <v>156</v>
      </c>
      <c r="E184" s="62"/>
      <c r="F184" s="48"/>
      <c r="G184" s="108">
        <f>SUM(G175:G183)</f>
        <v>116062</v>
      </c>
      <c r="H184" s="108">
        <f>SUM(H175:H183)</f>
        <v>0</v>
      </c>
      <c r="I184" s="108">
        <f>SUM(I175:I183)</f>
        <v>116062</v>
      </c>
      <c r="J184" s="108">
        <f>SUM(J175:J183)</f>
        <v>0</v>
      </c>
      <c r="K184" s="108">
        <f>SUM(K175:K183)</f>
        <v>116062</v>
      </c>
      <c r="L184" s="108">
        <f>SUM(L175:L183)</f>
        <v>0</v>
      </c>
      <c r="M184" s="108">
        <f>SUM(M175:M183)</f>
        <v>116062</v>
      </c>
      <c r="N184" s="118"/>
      <c r="O184" s="108">
        <f>SUM(O175:O183)</f>
        <v>0</v>
      </c>
      <c r="P184" s="108">
        <f>SUM(P175:P183)</f>
        <v>116062</v>
      </c>
      <c r="Q184" s="130"/>
      <c r="R184" s="108">
        <f>SUM(R175:R183)</f>
        <v>116062</v>
      </c>
      <c r="S184" s="108">
        <f>SUM(S175:S183)</f>
        <v>0</v>
      </c>
      <c r="T184" s="108">
        <f>SUM(T175:T183)</f>
        <v>116062</v>
      </c>
      <c r="U184" s="109"/>
      <c r="V184" s="109"/>
      <c r="W184" s="110">
        <f>SUM(W175:W183)</f>
        <v>56978</v>
      </c>
    </row>
    <row r="185" spans="2:23" ht="21" x14ac:dyDescent="0.35">
      <c r="B185" s="62"/>
      <c r="C185" s="30"/>
      <c r="D185" s="98" t="s">
        <v>171</v>
      </c>
      <c r="E185" s="99"/>
      <c r="F185" s="56"/>
      <c r="G185" s="50"/>
      <c r="H185" s="50"/>
      <c r="I185" s="50"/>
      <c r="J185" s="50"/>
      <c r="K185" s="50"/>
      <c r="L185" s="50"/>
      <c r="M185" s="50"/>
      <c r="N185" s="116"/>
      <c r="O185" s="50"/>
      <c r="P185" s="50"/>
      <c r="Q185" s="125"/>
      <c r="R185" s="50"/>
      <c r="S185" s="50"/>
      <c r="T185" s="50"/>
      <c r="U185" s="39"/>
      <c r="V185" s="39"/>
      <c r="W185" s="40"/>
    </row>
    <row r="186" spans="2:23" ht="21" x14ac:dyDescent="0.35">
      <c r="B186" s="62"/>
      <c r="D186" s="92"/>
      <c r="E186" s="95" t="s">
        <v>173</v>
      </c>
      <c r="F186" s="56"/>
      <c r="G186" s="50">
        <v>21600</v>
      </c>
      <c r="H186" s="50">
        <v>0</v>
      </c>
      <c r="I186" s="50">
        <f t="shared" ref="I186:I190" si="202">SUM(G186:H186)</f>
        <v>21600</v>
      </c>
      <c r="J186" s="50">
        <v>0</v>
      </c>
      <c r="K186" s="50">
        <f t="shared" ref="K186:K188" si="203">SUM(I186:J186)</f>
        <v>21600</v>
      </c>
      <c r="L186" s="50">
        <v>0</v>
      </c>
      <c r="M186" s="50">
        <f t="shared" ref="M186:M188" si="204">SUM(K186:L186)</f>
        <v>21600</v>
      </c>
      <c r="N186" s="116"/>
      <c r="O186" s="50">
        <v>0</v>
      </c>
      <c r="P186" s="50">
        <f t="shared" ref="P186:P190" si="205">+M186+O186</f>
        <v>21600</v>
      </c>
      <c r="Q186" s="125"/>
      <c r="R186" s="50">
        <v>21600</v>
      </c>
      <c r="S186" s="50">
        <v>0</v>
      </c>
      <c r="T186" s="50">
        <f t="shared" ref="T186:T190" si="206">SUM(R186:S186)</f>
        <v>21600</v>
      </c>
      <c r="U186" s="94" t="s">
        <v>174</v>
      </c>
      <c r="V186" s="39" t="s">
        <v>206</v>
      </c>
      <c r="W186" s="40">
        <v>21600</v>
      </c>
    </row>
    <row r="187" spans="2:23" ht="21" x14ac:dyDescent="0.35">
      <c r="B187" s="62"/>
      <c r="D187" s="92"/>
      <c r="E187" s="95" t="s">
        <v>175</v>
      </c>
      <c r="F187" s="56"/>
      <c r="G187" s="50">
        <v>3000</v>
      </c>
      <c r="H187" s="50">
        <v>0</v>
      </c>
      <c r="I187" s="50">
        <f t="shared" si="202"/>
        <v>3000</v>
      </c>
      <c r="J187" s="50">
        <v>0</v>
      </c>
      <c r="K187" s="50">
        <f t="shared" si="203"/>
        <v>3000</v>
      </c>
      <c r="L187" s="50">
        <v>0</v>
      </c>
      <c r="M187" s="50">
        <f t="shared" si="204"/>
        <v>3000</v>
      </c>
      <c r="N187" s="116"/>
      <c r="O187" s="50">
        <v>0</v>
      </c>
      <c r="P187" s="50">
        <f t="shared" si="205"/>
        <v>3000</v>
      </c>
      <c r="Q187" s="125"/>
      <c r="R187" s="50">
        <v>3000</v>
      </c>
      <c r="S187" s="50">
        <v>0</v>
      </c>
      <c r="T187" s="50">
        <f t="shared" si="206"/>
        <v>3000</v>
      </c>
      <c r="U187" s="94" t="s">
        <v>176</v>
      </c>
      <c r="V187" s="39" t="s">
        <v>206</v>
      </c>
      <c r="W187" s="40">
        <v>3000</v>
      </c>
    </row>
    <row r="188" spans="2:23" ht="21" x14ac:dyDescent="0.35">
      <c r="B188" s="62"/>
      <c r="D188" s="92"/>
      <c r="E188" s="95" t="s">
        <v>177</v>
      </c>
      <c r="F188" s="56"/>
      <c r="G188" s="50">
        <v>12700</v>
      </c>
      <c r="H188" s="50">
        <v>0</v>
      </c>
      <c r="I188" s="50">
        <f t="shared" si="202"/>
        <v>12700</v>
      </c>
      <c r="J188" s="50">
        <v>0</v>
      </c>
      <c r="K188" s="50">
        <f t="shared" si="203"/>
        <v>12700</v>
      </c>
      <c r="L188" s="50">
        <v>0</v>
      </c>
      <c r="M188" s="50">
        <f t="shared" si="204"/>
        <v>12700</v>
      </c>
      <c r="N188" s="116"/>
      <c r="O188" s="50">
        <v>0</v>
      </c>
      <c r="P188" s="50">
        <f t="shared" si="205"/>
        <v>12700</v>
      </c>
      <c r="Q188" s="125"/>
      <c r="R188" s="50">
        <v>12700</v>
      </c>
      <c r="S188" s="50">
        <v>0</v>
      </c>
      <c r="T188" s="50">
        <f t="shared" si="206"/>
        <v>12700</v>
      </c>
      <c r="U188" s="94" t="s">
        <v>178</v>
      </c>
      <c r="V188" s="39" t="s">
        <v>205</v>
      </c>
      <c r="W188" s="40">
        <v>1000</v>
      </c>
    </row>
    <row r="189" spans="2:23" ht="21" x14ac:dyDescent="0.35">
      <c r="B189" s="62"/>
      <c r="D189" s="92"/>
      <c r="E189" s="93" t="s">
        <v>260</v>
      </c>
      <c r="F189" s="56"/>
      <c r="G189" s="50">
        <v>25000</v>
      </c>
      <c r="H189" s="50">
        <v>0</v>
      </c>
      <c r="I189" s="50">
        <f t="shared" si="202"/>
        <v>25000</v>
      </c>
      <c r="J189" s="50">
        <v>0</v>
      </c>
      <c r="K189" s="50">
        <f t="shared" ref="K189:K190" si="207">SUM(I189:J189)</f>
        <v>25000</v>
      </c>
      <c r="L189" s="50">
        <v>0</v>
      </c>
      <c r="M189" s="50">
        <f t="shared" ref="M189:M190" si="208">SUM(K189:L189)</f>
        <v>25000</v>
      </c>
      <c r="N189" s="116"/>
      <c r="O189" s="50">
        <v>0</v>
      </c>
      <c r="P189" s="50">
        <f t="shared" si="205"/>
        <v>25000</v>
      </c>
      <c r="Q189" s="125"/>
      <c r="R189" s="50">
        <v>25000</v>
      </c>
      <c r="S189" s="50">
        <v>0</v>
      </c>
      <c r="T189" s="50">
        <f t="shared" si="206"/>
        <v>25000</v>
      </c>
      <c r="U189" s="94" t="s">
        <v>261</v>
      </c>
      <c r="V189" s="39" t="s">
        <v>208</v>
      </c>
      <c r="W189" s="40">
        <v>25000</v>
      </c>
    </row>
    <row r="190" spans="2:23" ht="21" x14ac:dyDescent="0.35">
      <c r="B190" s="62"/>
      <c r="D190" s="92"/>
      <c r="E190" s="95" t="s">
        <v>262</v>
      </c>
      <c r="F190" s="56"/>
      <c r="G190" s="50">
        <v>479081</v>
      </c>
      <c r="H190" s="50">
        <v>0</v>
      </c>
      <c r="I190" s="50">
        <f t="shared" si="202"/>
        <v>479081</v>
      </c>
      <c r="J190" s="50">
        <v>0</v>
      </c>
      <c r="K190" s="50">
        <f t="shared" si="207"/>
        <v>479081</v>
      </c>
      <c r="L190" s="50">
        <v>-33909</v>
      </c>
      <c r="M190" s="50">
        <f t="shared" si="208"/>
        <v>445172</v>
      </c>
      <c r="N190" s="116"/>
      <c r="O190" s="50">
        <v>0</v>
      </c>
      <c r="P190" s="50">
        <f t="shared" si="205"/>
        <v>445172</v>
      </c>
      <c r="Q190" s="125"/>
      <c r="R190" s="50">
        <v>479081</v>
      </c>
      <c r="S190" s="50">
        <v>0</v>
      </c>
      <c r="T190" s="50">
        <f t="shared" si="206"/>
        <v>479081</v>
      </c>
      <c r="U190" s="94" t="s">
        <v>263</v>
      </c>
      <c r="V190" s="39" t="s">
        <v>205</v>
      </c>
      <c r="W190" s="40">
        <v>16600</v>
      </c>
    </row>
    <row r="191" spans="2:23" ht="21" x14ac:dyDescent="0.35">
      <c r="B191" s="62"/>
      <c r="D191" s="92" t="s">
        <v>171</v>
      </c>
      <c r="E191" s="62"/>
      <c r="F191" s="48"/>
      <c r="G191" s="108">
        <f>SUM(G186:G190)</f>
        <v>541381</v>
      </c>
      <c r="H191" s="108">
        <f>SUM(H186:H190)</f>
        <v>0</v>
      </c>
      <c r="I191" s="108">
        <f>SUM(I186:I190)</f>
        <v>541381</v>
      </c>
      <c r="J191" s="108">
        <f>SUM(J186:J190)</f>
        <v>0</v>
      </c>
      <c r="K191" s="108">
        <f>SUM(K186:K190)</f>
        <v>541381</v>
      </c>
      <c r="L191" s="108">
        <f>SUM(L186:L190)</f>
        <v>-33909</v>
      </c>
      <c r="M191" s="108">
        <f>SUM(M186:M190)</f>
        <v>507472</v>
      </c>
      <c r="N191" s="118"/>
      <c r="O191" s="108">
        <f>SUM(O186:O190)</f>
        <v>0</v>
      </c>
      <c r="P191" s="108">
        <f>SUM(P186:P190)</f>
        <v>507472</v>
      </c>
      <c r="Q191" s="130"/>
      <c r="R191" s="108">
        <f>SUM(R186:R190)</f>
        <v>541381</v>
      </c>
      <c r="S191" s="108">
        <f>SUM(S186:S190)</f>
        <v>0</v>
      </c>
      <c r="T191" s="108">
        <f>SUM(T186:T190)</f>
        <v>541381</v>
      </c>
      <c r="U191" s="109"/>
      <c r="V191" s="109"/>
      <c r="W191" s="110">
        <f>SUM(W186:W190)</f>
        <v>67200</v>
      </c>
    </row>
    <row r="192" spans="2:23" ht="21" x14ac:dyDescent="0.35">
      <c r="B192" s="78"/>
      <c r="C192" s="30"/>
      <c r="D192" s="30"/>
      <c r="E192" s="57" t="s">
        <v>179</v>
      </c>
      <c r="F192" s="47" t="s">
        <v>264</v>
      </c>
      <c r="G192" s="104">
        <f>+G137+G145+G152+G153+G159+G160+G168+G173+G184+G191</f>
        <v>4436336</v>
      </c>
      <c r="H192" s="104">
        <f>+H137+H145+H152+H153+H159+H160+H168+H173+H184+H191</f>
        <v>0</v>
      </c>
      <c r="I192" s="104">
        <f>+I137+I145+I152+I153+I159+I160+I168+I173+I184+I191</f>
        <v>4436336</v>
      </c>
      <c r="J192" s="104">
        <f>+J137+J145+J152+J153+J159+J160+J168+J173+J184+J191</f>
        <v>0</v>
      </c>
      <c r="K192" s="104">
        <f>+K137+K145+K152+K153+K159+K160+K168+K173+K184+K191</f>
        <v>4436336</v>
      </c>
      <c r="L192" s="104">
        <f>+L137+L145+L152+L153+L159+L160+L168+L173+L184+L191</f>
        <v>-33909</v>
      </c>
      <c r="M192" s="104">
        <f>+M137+M145+M152+M153+M159+M160+M168+M173+M184+M191</f>
        <v>4402427</v>
      </c>
      <c r="N192" s="118"/>
      <c r="O192" s="104">
        <f>+O137+O145+O152+O153+O159+O160+O168+O173+O184+O191</f>
        <v>85000</v>
      </c>
      <c r="P192" s="104">
        <f>+P137+P145+P152+P153+P159+P160+P168+P173+P184+P191</f>
        <v>4487427</v>
      </c>
      <c r="Q192" s="130"/>
      <c r="R192" s="104">
        <f>+R137+R145+R152+R153+R159+R160+R168+R173+R184+R191</f>
        <v>4236336</v>
      </c>
      <c r="S192" s="104">
        <f>+S137+S145+S152+S153+S159+S160+S168+S173+S184+S191</f>
        <v>0</v>
      </c>
      <c r="T192" s="104">
        <f>+T137+T145+T152+T153+T159+T160+T168+T173+T184+T191</f>
        <v>4236336</v>
      </c>
      <c r="U192" s="104"/>
      <c r="V192" s="104"/>
      <c r="W192" s="104">
        <f>+W137+W145+W152+W153+W159+W160+W168+W173+W184+W191</f>
        <v>2080479</v>
      </c>
    </row>
    <row r="193" spans="2:23" ht="28.15" customHeight="1" x14ac:dyDescent="0.35">
      <c r="B193" s="78"/>
      <c r="C193" s="79"/>
      <c r="D193" s="79"/>
      <c r="E193" s="57" t="s">
        <v>181</v>
      </c>
      <c r="F193" s="32"/>
      <c r="G193" s="53">
        <f>+G131+G192</f>
        <v>8446732</v>
      </c>
      <c r="H193" s="53">
        <f>+H131+H192</f>
        <v>0</v>
      </c>
      <c r="I193" s="53">
        <f>+I131+I192</f>
        <v>8446732</v>
      </c>
      <c r="J193" s="53">
        <f>+J131+J192</f>
        <v>-2115</v>
      </c>
      <c r="K193" s="53">
        <f>+K131+K192</f>
        <v>8444617</v>
      </c>
      <c r="L193" s="53">
        <f>+L131+L192</f>
        <v>-33909</v>
      </c>
      <c r="M193" s="53">
        <f>+M131+M192</f>
        <v>8410708</v>
      </c>
      <c r="N193" s="112"/>
      <c r="O193" s="53">
        <f>+O131+O192</f>
        <v>85000</v>
      </c>
      <c r="P193" s="53">
        <f>+P131+P192</f>
        <v>8495708</v>
      </c>
      <c r="Q193" s="126"/>
      <c r="R193" s="53">
        <f>+R131+R192</f>
        <v>8246731</v>
      </c>
      <c r="S193" s="53">
        <f>+S131+S192</f>
        <v>0</v>
      </c>
      <c r="T193" s="53">
        <f>+T131+T192</f>
        <v>8246731</v>
      </c>
      <c r="U193" s="53"/>
      <c r="V193" s="53"/>
      <c r="W193" s="53">
        <f>+W131+W192</f>
        <v>2080479</v>
      </c>
    </row>
    <row r="194" spans="2:23" ht="33.6" customHeight="1" x14ac:dyDescent="0.35">
      <c r="B194" s="29" t="s">
        <v>265</v>
      </c>
      <c r="E194" s="62"/>
      <c r="G194" s="46"/>
      <c r="H194" s="46"/>
      <c r="I194" s="46"/>
      <c r="J194" s="46"/>
      <c r="K194" s="46"/>
      <c r="L194" s="46"/>
      <c r="N194" s="111"/>
      <c r="O194" s="46"/>
      <c r="Q194" s="124"/>
      <c r="R194" s="46"/>
      <c r="S194" s="46"/>
      <c r="U194" s="39"/>
      <c r="V194" s="39"/>
      <c r="W194" s="40"/>
    </row>
    <row r="195" spans="2:23" ht="21" x14ac:dyDescent="0.35">
      <c r="B195" s="62"/>
      <c r="C195" s="30" t="s">
        <v>266</v>
      </c>
      <c r="E195" s="77"/>
      <c r="F195" s="48" t="s">
        <v>267</v>
      </c>
      <c r="G195" s="46">
        <v>710000</v>
      </c>
      <c r="H195" s="46">
        <v>0</v>
      </c>
      <c r="I195" s="46">
        <f t="shared" ref="I195:I196" si="209">SUM(G195:H195)</f>
        <v>710000</v>
      </c>
      <c r="J195" s="46">
        <f>855000-710000</f>
        <v>145000</v>
      </c>
      <c r="K195" s="46">
        <f t="shared" ref="K195:K196" si="210">SUM(I195:J195)</f>
        <v>855000</v>
      </c>
      <c r="L195" s="46">
        <v>0</v>
      </c>
      <c r="M195" s="46">
        <f>SUM(K195:L195)</f>
        <v>855000</v>
      </c>
      <c r="N195" s="111"/>
      <c r="O195" s="46">
        <v>0</v>
      </c>
      <c r="P195" s="46">
        <f t="shared" ref="P195:P196" si="211">+M195+O195</f>
        <v>855000</v>
      </c>
      <c r="Q195" s="124"/>
      <c r="R195" s="46">
        <v>453723</v>
      </c>
      <c r="S195" s="46">
        <v>0</v>
      </c>
      <c r="T195" s="46">
        <f t="shared" ref="T195:T196" si="212">SUM(R195:S195)</f>
        <v>453723</v>
      </c>
      <c r="U195" s="39" t="s">
        <v>268</v>
      </c>
      <c r="V195" s="39" t="s">
        <v>269</v>
      </c>
      <c r="W195" s="40">
        <v>453723</v>
      </c>
    </row>
    <row r="196" spans="2:23" ht="21" x14ac:dyDescent="0.35">
      <c r="B196" s="62"/>
      <c r="C196" s="14" t="s">
        <v>270</v>
      </c>
      <c r="E196" s="62"/>
      <c r="F196" s="48" t="s">
        <v>267</v>
      </c>
      <c r="G196" s="46">
        <v>468000</v>
      </c>
      <c r="H196" s="46">
        <v>0</v>
      </c>
      <c r="I196" s="46">
        <f t="shared" si="209"/>
        <v>468000</v>
      </c>
      <c r="J196" s="46">
        <f>500000-468000</f>
        <v>32000</v>
      </c>
      <c r="K196" s="46">
        <f t="shared" si="210"/>
        <v>500000</v>
      </c>
      <c r="L196" s="46">
        <v>0</v>
      </c>
      <c r="M196" s="46">
        <f>SUM(K196:L196)</f>
        <v>500000</v>
      </c>
      <c r="N196" s="111"/>
      <c r="O196" s="46">
        <v>0</v>
      </c>
      <c r="P196" s="46">
        <f t="shared" si="211"/>
        <v>500000</v>
      </c>
      <c r="Q196" s="124"/>
      <c r="R196" s="46">
        <v>468000</v>
      </c>
      <c r="S196" s="46">
        <v>0</v>
      </c>
      <c r="T196" s="46">
        <f t="shared" si="212"/>
        <v>468000</v>
      </c>
      <c r="U196" s="39" t="s">
        <v>268</v>
      </c>
      <c r="V196" s="39" t="s">
        <v>269</v>
      </c>
      <c r="W196" s="40">
        <v>468000</v>
      </c>
    </row>
    <row r="197" spans="2:23" ht="21" x14ac:dyDescent="0.35">
      <c r="B197" s="78"/>
      <c r="C197" s="79"/>
      <c r="D197" s="79"/>
      <c r="E197" s="57" t="s">
        <v>271</v>
      </c>
      <c r="F197" s="48" t="s">
        <v>272</v>
      </c>
      <c r="G197" s="53">
        <f>SUM(G195:G196)</f>
        <v>1178000</v>
      </c>
      <c r="H197" s="53">
        <f t="shared" ref="H197:T197" si="213">SUM(H195:H196)</f>
        <v>0</v>
      </c>
      <c r="I197" s="53">
        <f t="shared" si="213"/>
        <v>1178000</v>
      </c>
      <c r="J197" s="53">
        <f t="shared" si="213"/>
        <v>177000</v>
      </c>
      <c r="K197" s="53">
        <f t="shared" si="213"/>
        <v>1355000</v>
      </c>
      <c r="L197" s="53">
        <f t="shared" si="213"/>
        <v>0</v>
      </c>
      <c r="M197" s="53">
        <f t="shared" si="213"/>
        <v>1355000</v>
      </c>
      <c r="N197" s="112"/>
      <c r="O197" s="53">
        <f t="shared" ref="O197:P197" si="214">SUM(O195:O196)</f>
        <v>0</v>
      </c>
      <c r="P197" s="53">
        <f t="shared" si="214"/>
        <v>1355000</v>
      </c>
      <c r="Q197" s="126"/>
      <c r="R197" s="53">
        <f t="shared" si="213"/>
        <v>921723</v>
      </c>
      <c r="S197" s="53">
        <f t="shared" si="213"/>
        <v>0</v>
      </c>
      <c r="T197" s="53">
        <f t="shared" si="213"/>
        <v>921723</v>
      </c>
      <c r="U197" s="39"/>
      <c r="V197" s="39"/>
      <c r="W197" s="40"/>
    </row>
    <row r="198" spans="2:23" ht="29.45" customHeight="1" thickBot="1" x14ac:dyDescent="0.4">
      <c r="B198" s="78"/>
      <c r="C198" s="79"/>
      <c r="D198" s="79"/>
      <c r="E198" s="57" t="s">
        <v>273</v>
      </c>
      <c r="F198" s="81"/>
      <c r="G198" s="58">
        <f>+G193+G197</f>
        <v>9624732</v>
      </c>
      <c r="H198" s="58">
        <f t="shared" ref="H198:T198" si="215">+H193+H197</f>
        <v>0</v>
      </c>
      <c r="I198" s="58">
        <f t="shared" si="215"/>
        <v>9624732</v>
      </c>
      <c r="J198" s="58">
        <f t="shared" si="215"/>
        <v>174885</v>
      </c>
      <c r="K198" s="58">
        <f t="shared" si="215"/>
        <v>9799617</v>
      </c>
      <c r="L198" s="58">
        <f t="shared" si="215"/>
        <v>-33909</v>
      </c>
      <c r="M198" s="58">
        <f t="shared" si="215"/>
        <v>9765708</v>
      </c>
      <c r="N198" s="113">
        <v>9.8000000000000007</v>
      </c>
      <c r="O198" s="58">
        <f t="shared" ref="O198:P198" si="216">+O193+O197</f>
        <v>85000</v>
      </c>
      <c r="P198" s="58">
        <f t="shared" si="216"/>
        <v>9850708</v>
      </c>
      <c r="Q198" s="127">
        <v>9.9</v>
      </c>
      <c r="R198" s="58">
        <f t="shared" si="215"/>
        <v>9168454</v>
      </c>
      <c r="S198" s="58">
        <f t="shared" si="215"/>
        <v>0</v>
      </c>
      <c r="T198" s="58">
        <f t="shared" si="215"/>
        <v>9168454</v>
      </c>
      <c r="U198" s="39"/>
      <c r="V198" s="39"/>
      <c r="W198" s="40">
        <f>SUM(W129:W197)</f>
        <v>9151389</v>
      </c>
    </row>
    <row r="199" spans="2:23" ht="31.15" customHeight="1" thickBot="1" x14ac:dyDescent="0.4">
      <c r="B199" s="78"/>
      <c r="C199" s="79"/>
      <c r="D199" s="79"/>
      <c r="E199" s="80" t="s">
        <v>274</v>
      </c>
      <c r="F199" s="81"/>
      <c r="G199" s="105">
        <f>+G124+G198</f>
        <v>264207021</v>
      </c>
      <c r="H199" s="105">
        <f>+H124+H198</f>
        <v>-4000000</v>
      </c>
      <c r="I199" s="105">
        <f>+I124+I198</f>
        <v>260207021</v>
      </c>
      <c r="J199" s="105">
        <f>+J124+J198</f>
        <v>11713359</v>
      </c>
      <c r="K199" s="105">
        <f>+K124+K198</f>
        <v>271920380</v>
      </c>
      <c r="L199" s="105">
        <f>+L124+L198</f>
        <v>-971468</v>
      </c>
      <c r="M199" s="105">
        <f>+M124+M198</f>
        <v>270948912</v>
      </c>
      <c r="N199" s="119">
        <f>+N124+N198</f>
        <v>270.80000000000007</v>
      </c>
      <c r="O199" s="105">
        <f>+O124+O198</f>
        <v>-2000000</v>
      </c>
      <c r="P199" s="105">
        <f>+P124+P198</f>
        <v>268948912</v>
      </c>
      <c r="Q199" s="131">
        <f>+Q124+Q198</f>
        <v>268.59999999999997</v>
      </c>
      <c r="R199" s="105">
        <f>+R124+R198</f>
        <v>219779159</v>
      </c>
      <c r="S199" s="105">
        <f>+S124+S198</f>
        <v>8000000</v>
      </c>
      <c r="T199" s="105">
        <f>+T124+T198</f>
        <v>227779159</v>
      </c>
      <c r="U199" s="39"/>
      <c r="V199" s="39"/>
      <c r="W199" s="40">
        <f>+W124+W198</f>
        <v>71897761</v>
      </c>
    </row>
    <row r="200" spans="2:23" ht="6.6" customHeight="1" thickTop="1" x14ac:dyDescent="0.3">
      <c r="G200" s="46"/>
      <c r="H200" s="46"/>
      <c r="I200" s="46"/>
      <c r="J200" s="46"/>
      <c r="K200" s="46"/>
      <c r="L200" s="46"/>
      <c r="O200" s="46"/>
      <c r="U200" s="39"/>
      <c r="V200" s="39"/>
      <c r="W200" s="40"/>
    </row>
    <row r="201" spans="2:23" ht="6" customHeight="1" x14ac:dyDescent="0.3">
      <c r="G201" s="46"/>
      <c r="H201" s="46"/>
      <c r="I201" s="46"/>
      <c r="J201" s="46"/>
      <c r="K201" s="46"/>
      <c r="L201" s="46"/>
      <c r="O201" s="46"/>
      <c r="U201" s="39"/>
      <c r="V201" s="39"/>
      <c r="W201" s="40"/>
    </row>
    <row r="202" spans="2:23" x14ac:dyDescent="0.3">
      <c r="G202" s="46"/>
      <c r="H202" s="46"/>
      <c r="I202" s="46"/>
      <c r="J202" s="46"/>
      <c r="K202" s="46"/>
      <c r="L202" s="46"/>
      <c r="N202" s="120"/>
      <c r="O202" s="46"/>
      <c r="Q202" s="120"/>
      <c r="U202" s="39"/>
      <c r="V202" s="39"/>
      <c r="W202" s="40"/>
    </row>
    <row r="203" spans="2:23" x14ac:dyDescent="0.3">
      <c r="G203" s="46"/>
      <c r="H203" s="46"/>
      <c r="I203" s="46"/>
      <c r="J203" s="46"/>
      <c r="K203" s="46"/>
      <c r="L203" s="46"/>
      <c r="O203" s="46"/>
      <c r="U203" s="39"/>
      <c r="V203" s="39"/>
      <c r="W203" s="40"/>
    </row>
    <row r="204" spans="2:23" x14ac:dyDescent="0.3">
      <c r="G204" s="46"/>
      <c r="H204" s="46"/>
      <c r="I204" s="46"/>
      <c r="J204" s="46"/>
      <c r="K204" s="46"/>
      <c r="L204" s="46"/>
      <c r="O204" s="46"/>
      <c r="U204" s="39"/>
      <c r="V204" s="39"/>
      <c r="W204" s="40"/>
    </row>
    <row r="205" spans="2:23" x14ac:dyDescent="0.3">
      <c r="G205" s="46"/>
      <c r="H205" s="46"/>
      <c r="I205" s="46"/>
      <c r="J205" s="46"/>
      <c r="K205" s="46"/>
      <c r="L205" s="46"/>
      <c r="O205" s="46"/>
      <c r="U205" s="39"/>
      <c r="V205" s="39"/>
      <c r="W205" s="40"/>
    </row>
    <row r="206" spans="2:23" x14ac:dyDescent="0.3">
      <c r="G206" s="46"/>
      <c r="H206" s="46"/>
      <c r="I206" s="46"/>
      <c r="J206" s="46"/>
      <c r="K206" s="46"/>
      <c r="L206" s="46"/>
      <c r="O206" s="46"/>
      <c r="U206" s="39"/>
      <c r="V206" s="39"/>
      <c r="W206" s="40"/>
    </row>
    <row r="207" spans="2:23" x14ac:dyDescent="0.3">
      <c r="G207" s="46"/>
      <c r="H207" s="46"/>
      <c r="I207" s="46"/>
      <c r="J207" s="46"/>
      <c r="K207" s="46"/>
      <c r="L207" s="46"/>
      <c r="O207" s="46"/>
      <c r="U207" s="39"/>
      <c r="V207" s="39"/>
      <c r="W207" s="40"/>
    </row>
    <row r="208" spans="2:23" x14ac:dyDescent="0.3">
      <c r="G208" s="46"/>
      <c r="H208" s="46"/>
      <c r="I208" s="46"/>
      <c r="J208" s="46"/>
      <c r="K208" s="46"/>
      <c r="L208" s="46"/>
      <c r="O208" s="46"/>
      <c r="U208" s="39"/>
      <c r="V208" s="39"/>
      <c r="W208" s="40"/>
    </row>
    <row r="209" spans="7:23" x14ac:dyDescent="0.3">
      <c r="G209" s="46"/>
      <c r="H209" s="46"/>
      <c r="I209" s="46"/>
      <c r="J209" s="46"/>
      <c r="K209" s="46"/>
      <c r="L209" s="46"/>
      <c r="O209" s="46"/>
      <c r="U209" s="39"/>
      <c r="V209" s="39"/>
      <c r="W209" s="40"/>
    </row>
    <row r="210" spans="7:23" x14ac:dyDescent="0.3">
      <c r="G210" s="46"/>
      <c r="H210" s="46"/>
      <c r="I210" s="46"/>
      <c r="J210" s="46"/>
      <c r="K210" s="46"/>
      <c r="L210" s="46"/>
      <c r="O210" s="46"/>
      <c r="U210" s="39"/>
      <c r="V210" s="39"/>
      <c r="W210" s="40"/>
    </row>
    <row r="211" spans="7:23" x14ac:dyDescent="0.3">
      <c r="G211" s="46"/>
      <c r="H211" s="46"/>
      <c r="I211" s="46"/>
      <c r="J211" s="46"/>
      <c r="K211" s="46"/>
      <c r="L211" s="46"/>
      <c r="O211" s="46"/>
      <c r="U211" s="39"/>
      <c r="V211" s="39"/>
      <c r="W211" s="40"/>
    </row>
    <row r="212" spans="7:23" x14ac:dyDescent="0.3">
      <c r="G212" s="46"/>
      <c r="H212" s="46"/>
      <c r="I212" s="46"/>
      <c r="J212" s="46"/>
      <c r="K212" s="46"/>
      <c r="L212" s="46"/>
      <c r="O212" s="46"/>
      <c r="U212" s="39"/>
      <c r="V212" s="39"/>
      <c r="W212" s="40"/>
    </row>
    <row r="213" spans="7:23" x14ac:dyDescent="0.3">
      <c r="G213" s="46"/>
      <c r="H213" s="46"/>
      <c r="I213" s="46"/>
      <c r="J213" s="46"/>
      <c r="K213" s="46"/>
      <c r="L213" s="46"/>
      <c r="O213" s="46"/>
      <c r="U213" s="39"/>
      <c r="V213" s="39"/>
      <c r="W213" s="40"/>
    </row>
    <row r="214" spans="7:23" x14ac:dyDescent="0.3">
      <c r="G214" s="46"/>
      <c r="H214" s="46"/>
      <c r="I214" s="46"/>
      <c r="J214" s="46"/>
      <c r="K214" s="46"/>
      <c r="L214" s="46"/>
      <c r="O214" s="46"/>
      <c r="U214" s="39"/>
      <c r="V214" s="39"/>
      <c r="W214" s="40"/>
    </row>
    <row r="215" spans="7:23" x14ac:dyDescent="0.3">
      <c r="G215" s="46"/>
      <c r="H215" s="46"/>
      <c r="I215" s="46"/>
      <c r="J215" s="46"/>
      <c r="K215" s="46"/>
      <c r="L215" s="46"/>
      <c r="O215" s="46"/>
      <c r="U215" s="39"/>
      <c r="V215" s="39"/>
      <c r="W215" s="40"/>
    </row>
    <row r="216" spans="7:23" x14ac:dyDescent="0.3">
      <c r="U216" s="39"/>
      <c r="V216" s="39"/>
      <c r="W216" s="40"/>
    </row>
    <row r="217" spans="7:23" x14ac:dyDescent="0.3">
      <c r="U217" s="39"/>
      <c r="V217" s="39"/>
      <c r="W217" s="40"/>
    </row>
    <row r="218" spans="7:23" x14ac:dyDescent="0.3">
      <c r="U218" s="39"/>
      <c r="V218" s="39"/>
      <c r="W218" s="40"/>
    </row>
    <row r="219" spans="7:23" x14ac:dyDescent="0.3">
      <c r="U219" s="39"/>
      <c r="V219" s="39"/>
      <c r="W219" s="40"/>
    </row>
    <row r="220" spans="7:23" x14ac:dyDescent="0.3">
      <c r="U220" s="39"/>
      <c r="V220" s="39"/>
      <c r="W220" s="40"/>
    </row>
  </sheetData>
  <pageMargins left="0.79" right="0.22" top="0.88" bottom="0.72" header="0.23" footer="0.28999999999999998"/>
  <pageSetup scale="83" orientation="portrait" horizontalDpi="1200" verticalDpi="1200" r:id="rId1"/>
  <headerFooter scaleWithDoc="0">
    <oddFooter>&amp;L&amp;10&amp;K000000&amp;A&amp;R&amp;10&amp;K00+000&amp;P</oddFooter>
  </headerFooter>
  <rowBreaks count="1" manualBreakCount="1">
    <brk id="1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2015 (2014.09.23 Approved)</vt:lpstr>
      <vt:lpstr>'FY 2015 (2014.09.23 Approved)'!Print_Area</vt:lpstr>
      <vt:lpstr>'FY 2015 (2014.09.23 Approved)'!Print_Titles</vt:lpstr>
    </vt:vector>
  </TitlesOfParts>
  <Company>TCHD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Kiser, Lee</dc:creator>
  <cp:lastModifiedBy>Kennedy, Anne</cp:lastModifiedBy>
  <cp:lastPrinted>2014-10-13T23:37:19Z</cp:lastPrinted>
  <dcterms:created xsi:type="dcterms:W3CDTF">2014-09-17T17:40:15Z</dcterms:created>
  <dcterms:modified xsi:type="dcterms:W3CDTF">2015-07-29T20:08:33Z</dcterms:modified>
</cp:coreProperties>
</file>