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mmckinnon/Desktop/"/>
    </mc:Choice>
  </mc:AlternateContent>
  <xr:revisionPtr revIDLastSave="0" documentId="13_ncr:1_{E2D842B3-D5E2-5448-B6C2-0571E88B7713}" xr6:coauthVersionLast="36" xr6:coauthVersionMax="36" xr10:uidLastSave="{00000000-0000-0000-0000-000000000000}"/>
  <bookViews>
    <workbookView xWindow="0" yWindow="460" windowWidth="46460" windowHeight="28320" activeTab="1" xr2:uid="{00000000-000D-0000-FFFF-FFFF00000000}"/>
  </bookViews>
  <sheets>
    <sheet name="Attachment A" sheetId="1" r:id="rId1"/>
    <sheet name="Attachment B" sheetId="2" r:id="rId2"/>
  </sheets>
  <externalReferences>
    <externalReference r:id="rId3"/>
    <externalReference r:id="rId4"/>
  </externalReferences>
  <definedNames>
    <definedName name="_xlnm.Print_Area" localSheetId="0">'Attachment A'!$A$4:$I$32</definedName>
    <definedName name="_xlnm.Print_Area" localSheetId="1">'Attachment B'!$A$1:$I$86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I31" i="1" l="1"/>
  <c r="I32" i="1" s="1"/>
  <c r="I23" i="1"/>
  <c r="G23" i="1"/>
  <c r="C23" i="1"/>
  <c r="I22" i="1"/>
  <c r="G22" i="1"/>
  <c r="C22" i="1"/>
  <c r="I21" i="1"/>
  <c r="I24" i="1" s="1"/>
  <c r="G21" i="1"/>
  <c r="C21" i="1"/>
  <c r="I16" i="1"/>
  <c r="G15" i="1"/>
  <c r="G17" i="1" s="1"/>
  <c r="I14" i="1"/>
  <c r="I13" i="1"/>
  <c r="C13" i="1"/>
  <c r="C15" i="1" s="1"/>
  <c r="C17" i="1" s="1"/>
  <c r="I12" i="1"/>
  <c r="I11" i="1"/>
  <c r="C24" i="1" l="1"/>
  <c r="I15" i="1"/>
  <c r="I17" i="1" s="1"/>
  <c r="G24" i="1"/>
  <c r="G85" i="2"/>
  <c r="E85" i="2"/>
  <c r="C85" i="2"/>
  <c r="I84" i="2"/>
  <c r="I83" i="2"/>
  <c r="E80" i="2"/>
  <c r="I79" i="2"/>
  <c r="C79" i="2"/>
  <c r="I78" i="2"/>
  <c r="C78" i="2"/>
  <c r="I77" i="2"/>
  <c r="C77" i="2"/>
  <c r="I76" i="2"/>
  <c r="C76" i="2"/>
  <c r="I75" i="2"/>
  <c r="I74" i="2"/>
  <c r="C74" i="2"/>
  <c r="I73" i="2"/>
  <c r="C73" i="2"/>
  <c r="I72" i="2"/>
  <c r="C72" i="2"/>
  <c r="I71" i="2"/>
  <c r="C71" i="2"/>
  <c r="I70" i="2"/>
  <c r="I69" i="2"/>
  <c r="I68" i="2"/>
  <c r="I67" i="2"/>
  <c r="G67" i="2"/>
  <c r="G80" i="2" s="1"/>
  <c r="C67" i="2"/>
  <c r="C80" i="2" s="1"/>
  <c r="G62" i="2"/>
  <c r="E62" i="2"/>
  <c r="C62" i="2"/>
  <c r="I61" i="2"/>
  <c r="I60" i="2"/>
  <c r="I62" i="2" s="1"/>
  <c r="G58" i="2"/>
  <c r="E58" i="2"/>
  <c r="C58" i="2"/>
  <c r="I55" i="2"/>
  <c r="I54" i="2"/>
  <c r="I51" i="2"/>
  <c r="G51" i="2"/>
  <c r="C51" i="2"/>
  <c r="I50" i="2"/>
  <c r="I49" i="2"/>
  <c r="E49" i="2"/>
  <c r="G49" i="2" s="1"/>
  <c r="I48" i="2"/>
  <c r="C48" i="2"/>
  <c r="I47" i="2"/>
  <c r="G47" i="2"/>
  <c r="C47" i="2"/>
  <c r="I46" i="2"/>
  <c r="C46" i="2"/>
  <c r="I45" i="2"/>
  <c r="G45" i="2"/>
  <c r="I44" i="2"/>
  <c r="C44" i="2"/>
  <c r="I43" i="2"/>
  <c r="I42" i="2"/>
  <c r="G42" i="2"/>
  <c r="C42" i="2"/>
  <c r="I41" i="2"/>
  <c r="G41" i="2"/>
  <c r="C41" i="2"/>
  <c r="I40" i="2"/>
  <c r="G40" i="2"/>
  <c r="I39" i="2"/>
  <c r="I38" i="2"/>
  <c r="C36" i="2"/>
  <c r="I35" i="2"/>
  <c r="G35" i="2"/>
  <c r="C35" i="2"/>
  <c r="C52" i="2" s="1"/>
  <c r="G32" i="2"/>
  <c r="E32" i="2"/>
  <c r="C32" i="2"/>
  <c r="I31" i="2"/>
  <c r="I28" i="2"/>
  <c r="I32" i="2" s="1"/>
  <c r="C25" i="2"/>
  <c r="C33" i="2" s="1"/>
  <c r="I24" i="2"/>
  <c r="I23" i="2"/>
  <c r="E23" i="2"/>
  <c r="E25" i="2" s="1"/>
  <c r="I22" i="2"/>
  <c r="I21" i="2"/>
  <c r="I20" i="2"/>
  <c r="I19" i="2"/>
  <c r="I18" i="2"/>
  <c r="G18" i="2"/>
  <c r="G25" i="2" s="1"/>
  <c r="G33" i="2" s="1"/>
  <c r="E16" i="2"/>
  <c r="I15" i="2"/>
  <c r="I14" i="2"/>
  <c r="G14" i="2"/>
  <c r="C14" i="2"/>
  <c r="I13" i="2"/>
  <c r="I12" i="2"/>
  <c r="G12" i="2"/>
  <c r="G16" i="2" s="1"/>
  <c r="I11" i="2"/>
  <c r="C11" i="2"/>
  <c r="C16" i="2" s="1"/>
  <c r="I10" i="2"/>
  <c r="E33" i="2" l="1"/>
  <c r="I58" i="2"/>
  <c r="I80" i="2"/>
  <c r="I16" i="2"/>
  <c r="I25" i="2"/>
  <c r="I33" i="2" s="1"/>
  <c r="I52" i="2"/>
  <c r="I85" i="2"/>
  <c r="G52" i="2"/>
  <c r="G63" i="2" s="1"/>
  <c r="G86" i="2" s="1"/>
  <c r="C63" i="2"/>
  <c r="C86" i="2" s="1"/>
  <c r="E52" i="2"/>
  <c r="E63" i="2" s="1"/>
  <c r="E86" i="2" s="1"/>
  <c r="I63" i="2" l="1"/>
  <c r="I8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Melanie</author>
  </authors>
  <commentList>
    <comment ref="C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Miller, Melanie:</t>
        </r>
        <r>
          <rPr>
            <sz val="9"/>
            <color indexed="81"/>
            <rFont val="Tahoma"/>
            <family val="2"/>
          </rPr>
          <t xml:space="preserve">
DSRIP Projects
</t>
        </r>
      </text>
    </comment>
    <comment ref="C3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Miller, Melanie:</t>
        </r>
        <r>
          <rPr>
            <sz val="9"/>
            <color indexed="81"/>
            <rFont val="Tahoma"/>
            <family val="2"/>
          </rPr>
          <t xml:space="preserve">
ACA, CHAP
</t>
        </r>
      </text>
    </comment>
  </commentList>
</comments>
</file>

<file path=xl/sharedStrings.xml><?xml version="1.0" encoding="utf-8"?>
<sst xmlns="http://schemas.openxmlformats.org/spreadsheetml/2006/main" count="110" uniqueCount="95">
  <si>
    <t>ATTACHMENT A</t>
  </si>
  <si>
    <t>DESCRIPTION</t>
  </si>
  <si>
    <t>FY 2017 ACTUALS</t>
  </si>
  <si>
    <t xml:space="preserve">FY 2018 APPROVED BUDGET </t>
  </si>
  <si>
    <t>FY 2018 CURRENT YEAR ESTIMATE</t>
  </si>
  <si>
    <t>TAX RATE</t>
  </si>
  <si>
    <t>SOURCES</t>
  </si>
  <si>
    <t>Property Taxes</t>
  </si>
  <si>
    <t>Lease Revenue</t>
  </si>
  <si>
    <t>Interest</t>
  </si>
  <si>
    <t>Tobacco Litigation Settlement</t>
  </si>
  <si>
    <t>Subtotal Revenue</t>
  </si>
  <si>
    <t>Contingency Reserve</t>
  </si>
  <si>
    <t>Total Sources</t>
  </si>
  <si>
    <t>USES</t>
  </si>
  <si>
    <t>Healthcare Delivery</t>
  </si>
  <si>
    <t>Administration</t>
  </si>
  <si>
    <t>Tax Collection</t>
  </si>
  <si>
    <t>Total Uses</t>
  </si>
  <si>
    <r>
      <t xml:space="preserve">RESERVES </t>
    </r>
    <r>
      <rPr>
        <b/>
        <sz val="11"/>
        <rFont val="Arial"/>
        <family val="2"/>
      </rPr>
      <t>(ending balance)</t>
    </r>
  </si>
  <si>
    <t>Capital</t>
  </si>
  <si>
    <t>HMO Risk-based Capital Reserve</t>
  </si>
  <si>
    <t>Emergency Reserve</t>
  </si>
  <si>
    <t>Total Reserves</t>
  </si>
  <si>
    <t>ATTACHMENT B</t>
  </si>
  <si>
    <t>FY 2018 APPROVED BUDGET</t>
  </si>
  <si>
    <t>HEALTH CARE DELIVERY</t>
  </si>
  <si>
    <t>Intergovernmental transfers:</t>
  </si>
  <si>
    <t>IGT - Private UC</t>
  </si>
  <si>
    <t>IGT - Public UC</t>
  </si>
  <si>
    <t>IGT - Disproportionate Share</t>
  </si>
  <si>
    <t>IGT - CCC DSRIP</t>
  </si>
  <si>
    <t>IGT - Seton DSRIP</t>
  </si>
  <si>
    <t>IGT - St. David's DSRIP</t>
  </si>
  <si>
    <t>Total Intergovernmental Transfers</t>
  </si>
  <si>
    <t>Healthcare Services</t>
  </si>
  <si>
    <t>Member Payment to CCC</t>
  </si>
  <si>
    <t>Charity Care - Seton</t>
  </si>
  <si>
    <t>Primary Care - Planned Parenthood</t>
  </si>
  <si>
    <t>Womens Health Services</t>
  </si>
  <si>
    <t>Integrated Care Collaboration (ICC)</t>
  </si>
  <si>
    <t>Mobile Health Clinics</t>
  </si>
  <si>
    <t xml:space="preserve">    Healthcare Services Expansion </t>
  </si>
  <si>
    <t>Total Healthcare Services</t>
  </si>
  <si>
    <t>Healthcare Initiatives:</t>
  </si>
  <si>
    <t xml:space="preserve">    UMCB Campus Redevelopment</t>
  </si>
  <si>
    <t>ACA education and enrollment</t>
  </si>
  <si>
    <t>Health Promotion</t>
  </si>
  <si>
    <t>New Initiatives - Cancer, Womens Health, Healthcare Workforce Development</t>
  </si>
  <si>
    <t>Total Healthcare Initiatives</t>
  </si>
  <si>
    <t>Total Healthcare Services &amp; Initiatives</t>
  </si>
  <si>
    <t>Healthcare Operations</t>
  </si>
  <si>
    <t>Salary and Benefits</t>
  </si>
  <si>
    <t>ACA Education and Enrollment</t>
  </si>
  <si>
    <t>Legal</t>
  </si>
  <si>
    <t>Benefits and Payroll Services</t>
  </si>
  <si>
    <t>Consulting</t>
  </si>
  <si>
    <t>Other professional services</t>
  </si>
  <si>
    <t>Marketing &amp; Community Relations</t>
  </si>
  <si>
    <t>Community Engagement</t>
  </si>
  <si>
    <t>Leases, security &amp; maintenance</t>
  </si>
  <si>
    <t>UT land lease for teaching hospital</t>
  </si>
  <si>
    <t>Phones, computer equipment &amp; utilities</t>
  </si>
  <si>
    <t>Printing, copying, postage &amp; signage</t>
  </si>
  <si>
    <t>Travel, training and professional development</t>
  </si>
  <si>
    <t>Health Promotions</t>
  </si>
  <si>
    <t>Downtown Campus Operations and Redevelopment</t>
  </si>
  <si>
    <t>Other operating expenses</t>
  </si>
  <si>
    <t>Total Healthcare Operations</t>
  </si>
  <si>
    <t>Reserves, appropriated uses &amp; transfers:</t>
  </si>
  <si>
    <t>Transfer to capital reserve</t>
  </si>
  <si>
    <t>Transfer to emergency reserve</t>
  </si>
  <si>
    <t>Sendero risk-based capital</t>
  </si>
  <si>
    <t>Contingency reserve appropriation</t>
  </si>
  <si>
    <t>Total Reserves, appropriated uses &amp; transfers</t>
  </si>
  <si>
    <t>Debt service:</t>
  </si>
  <si>
    <t>Debt service - principal retirement</t>
  </si>
  <si>
    <t>Debt service - interest</t>
  </si>
  <si>
    <t>Total Debt Service</t>
  </si>
  <si>
    <t>Total Healthcare Delivery</t>
  </si>
  <si>
    <t>ADMINISTRATION</t>
  </si>
  <si>
    <t>Personnel Expenses</t>
  </si>
  <si>
    <t>Investment Services (Travis County)</t>
  </si>
  <si>
    <t>Benefits &amp; Payroll administrative services</t>
  </si>
  <si>
    <t>Insurance &amp; Risk Management</t>
  </si>
  <si>
    <t>Total Administration</t>
  </si>
  <si>
    <t>TAX COLLECTION</t>
  </si>
  <si>
    <t>Appraisal District Svcs</t>
  </si>
  <si>
    <t>Tax Collection Expense</t>
  </si>
  <si>
    <t xml:space="preserve">Total Tax Collection </t>
  </si>
  <si>
    <t>TOTAL USES</t>
  </si>
  <si>
    <t>ACA High Risk Premium Subsidy</t>
  </si>
  <si>
    <t>FY 2018 Approved Budget and FY 2019 Approved Budget Sources and Uses Summary</t>
  </si>
  <si>
    <t>FY 2019 APPROVED BUDGET</t>
  </si>
  <si>
    <t xml:space="preserve">FY 2019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</si>
</sst>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.0000_);_(* \(#,##0.00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1" applyFont="1" applyBorder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 applyAlignment="1">
      <alignment vertical="center"/>
    </xf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4" xfId="1" applyFill="1" applyBorder="1"/>
    <xf numFmtId="0" fontId="1" fillId="0" borderId="5" xfId="1" applyFill="1" applyBorder="1"/>
    <xf numFmtId="9" fontId="1" fillId="0" borderId="6" xfId="2" applyBorder="1" applyAlignment="1">
      <alignment horizontal="center"/>
    </xf>
    <xf numFmtId="9" fontId="1" fillId="0" borderId="0" xfId="2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quotePrefix="1" applyFont="1" applyFill="1" applyBorder="1" applyAlignment="1">
      <alignment horizontal="center"/>
    </xf>
    <xf numFmtId="164" fontId="5" fillId="0" borderId="8" xfId="1" quotePrefix="1" applyNumberFormat="1" applyFont="1" applyFill="1" applyBorder="1" applyAlignment="1">
      <alignment horizontal="center"/>
    </xf>
    <xf numFmtId="164" fontId="5" fillId="0" borderId="0" xfId="1" quotePrefix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165" fontId="1" fillId="0" borderId="6" xfId="3" applyNumberFormat="1" applyBorder="1"/>
    <xf numFmtId="165" fontId="1" fillId="0" borderId="0" xfId="3" applyNumberFormat="1" applyBorder="1"/>
    <xf numFmtId="0" fontId="2" fillId="0" borderId="9" xfId="1" applyFont="1" applyBorder="1" applyAlignment="1">
      <alignment horizontal="center"/>
    </xf>
    <xf numFmtId="166" fontId="1" fillId="0" borderId="5" xfId="1" applyNumberFormat="1" applyFill="1" applyBorder="1"/>
    <xf numFmtId="9" fontId="1" fillId="0" borderId="10" xfId="2" applyBorder="1" applyAlignment="1">
      <alignment horizontal="center"/>
    </xf>
    <xf numFmtId="0" fontId="1" fillId="0" borderId="9" xfId="1" applyBorder="1"/>
    <xf numFmtId="9" fontId="1" fillId="0" borderId="5" xfId="2" applyFill="1" applyBorder="1"/>
    <xf numFmtId="166" fontId="1" fillId="0" borderId="10" xfId="3" applyNumberFormat="1" applyBorder="1"/>
    <xf numFmtId="0" fontId="1" fillId="0" borderId="9" xfId="1" applyFont="1" applyFill="1" applyBorder="1"/>
    <xf numFmtId="0" fontId="1" fillId="0" borderId="9" xfId="1" applyFill="1" applyBorder="1"/>
    <xf numFmtId="166" fontId="6" fillId="0" borderId="10" xfId="3" applyNumberFormat="1" applyFont="1" applyBorder="1"/>
    <xf numFmtId="0" fontId="1" fillId="0" borderId="9" xfId="1" applyFont="1" applyBorder="1"/>
    <xf numFmtId="0" fontId="1" fillId="0" borderId="5" xfId="1" quotePrefix="1" applyFill="1" applyBorder="1"/>
    <xf numFmtId="166" fontId="1" fillId="0" borderId="10" xfId="3" applyNumberFormat="1" applyFill="1" applyBorder="1"/>
    <xf numFmtId="0" fontId="3" fillId="0" borderId="9" xfId="1" applyFont="1" applyBorder="1" applyAlignment="1">
      <alignment horizontal="right"/>
    </xf>
    <xf numFmtId="166" fontId="7" fillId="0" borderId="5" xfId="1" applyNumberFormat="1" applyFont="1" applyFill="1" applyBorder="1"/>
    <xf numFmtId="166" fontId="3" fillId="0" borderId="11" xfId="3" applyNumberFormat="1" applyFont="1" applyBorder="1"/>
    <xf numFmtId="0" fontId="1" fillId="0" borderId="9" xfId="1" applyFont="1" applyFill="1" applyBorder="1" applyAlignment="1">
      <alignment horizontal="left" wrapText="1"/>
    </xf>
    <xf numFmtId="166" fontId="1" fillId="0" borderId="6" xfId="3" applyNumberFormat="1" applyBorder="1"/>
    <xf numFmtId="0" fontId="6" fillId="0" borderId="9" xfId="1" applyFont="1" applyBorder="1" applyAlignment="1">
      <alignment horizontal="right"/>
    </xf>
    <xf numFmtId="0" fontId="2" fillId="0" borderId="9" xfId="1" applyFont="1" applyFill="1" applyBorder="1" applyAlignment="1">
      <alignment horizontal="center"/>
    </xf>
    <xf numFmtId="0" fontId="7" fillId="0" borderId="5" xfId="1" applyFont="1" applyFill="1" applyBorder="1"/>
    <xf numFmtId="0" fontId="1" fillId="0" borderId="12" xfId="1" applyBorder="1"/>
    <xf numFmtId="166" fontId="6" fillId="0" borderId="6" xfId="3" applyNumberFormat="1" applyFont="1" applyBorder="1"/>
    <xf numFmtId="166" fontId="1" fillId="0" borderId="10" xfId="3" applyNumberFormat="1" applyFont="1" applyFill="1" applyBorder="1"/>
    <xf numFmtId="0" fontId="8" fillId="0" borderId="0" xfId="1" applyFont="1" applyFill="1" applyBorder="1" applyAlignment="1">
      <alignment vertical="center"/>
    </xf>
    <xf numFmtId="10" fontId="10" fillId="0" borderId="0" xfId="2" applyNumberFormat="1" applyFont="1" applyFill="1" applyBorder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 indent="2"/>
    </xf>
    <xf numFmtId="166" fontId="1" fillId="0" borderId="10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10" fontId="8" fillId="0" borderId="0" xfId="2" applyNumberFormat="1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vertical="center"/>
    </xf>
    <xf numFmtId="166" fontId="1" fillId="0" borderId="1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166" fontId="6" fillId="0" borderId="10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 wrapText="1" indent="2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41" fontId="6" fillId="0" borderId="0" xfId="3" applyNumberFormat="1" applyFont="1" applyFill="1" applyBorder="1" applyAlignment="1">
      <alignment horizontal="right" vertical="center"/>
    </xf>
    <xf numFmtId="166" fontId="3" fillId="0" borderId="16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166" fontId="6" fillId="0" borderId="18" xfId="3" applyNumberFormat="1" applyFont="1" applyFill="1" applyBorder="1" applyAlignment="1">
      <alignment horizontal="right" vertical="center"/>
    </xf>
    <xf numFmtId="166" fontId="6" fillId="0" borderId="0" xfId="3" applyNumberFormat="1" applyFont="1" applyFill="1" applyBorder="1" applyAlignment="1">
      <alignment horizontal="right" vertical="center"/>
    </xf>
    <xf numFmtId="41" fontId="3" fillId="0" borderId="0" xfId="3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left" vertical="center"/>
    </xf>
    <xf numFmtId="166" fontId="3" fillId="0" borderId="19" xfId="3" applyNumberFormat="1" applyFont="1" applyFill="1" applyBorder="1" applyAlignment="1">
      <alignment vertical="center"/>
    </xf>
    <xf numFmtId="166" fontId="3" fillId="0" borderId="19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left" vertical="center"/>
    </xf>
    <xf numFmtId="41" fontId="3" fillId="0" borderId="5" xfId="3" applyNumberFormat="1" applyFont="1" applyFill="1" applyBorder="1" applyAlignment="1">
      <alignment vertical="center"/>
    </xf>
    <xf numFmtId="41" fontId="3" fillId="0" borderId="5" xfId="3" applyNumberFormat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left" vertical="center" indent="2"/>
    </xf>
    <xf numFmtId="0" fontId="1" fillId="0" borderId="0" xfId="1" applyFill="1" applyAlignment="1">
      <alignment vertical="center"/>
    </xf>
    <xf numFmtId="0" fontId="1" fillId="0" borderId="0" xfId="1" applyFont="1"/>
    <xf numFmtId="0" fontId="1" fillId="0" borderId="0" xfId="1" applyFont="1" applyFill="1" applyAlignment="1">
      <alignment vertical="top"/>
    </xf>
    <xf numFmtId="10" fontId="1" fillId="0" borderId="0" xfId="1" applyNumberFormat="1" applyAlignment="1">
      <alignment vertical="center"/>
    </xf>
    <xf numFmtId="10" fontId="1" fillId="0" borderId="0" xfId="1" applyNumberFormat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1" fillId="0" borderId="13" xfId="1" applyFill="1" applyBorder="1" applyAlignment="1">
      <alignment vertical="center" wrapText="1"/>
    </xf>
    <xf numFmtId="0" fontId="1" fillId="0" borderId="14" xfId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9" fillId="3" borderId="3" xfId="1" applyFont="1" applyFill="1" applyBorder="1" applyAlignment="1">
      <alignment horizontal="center" vertical="center"/>
    </xf>
    <xf numFmtId="166" fontId="9" fillId="3" borderId="3" xfId="3" applyNumberFormat="1" applyFont="1" applyFill="1" applyBorder="1" applyAlignment="1">
      <alignment horizontal="left" vertical="center"/>
    </xf>
    <xf numFmtId="166" fontId="9" fillId="3" borderId="0" xfId="3" applyNumberFormat="1" applyFont="1" applyFill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0" xfId="1" applyBorder="1" applyAlignment="1">
      <alignment horizontal="left" vertical="center" indent="2"/>
    </xf>
    <xf numFmtId="166" fontId="1" fillId="0" borderId="10" xfId="1" applyNumberFormat="1" applyBorder="1" applyAlignment="1">
      <alignment vertical="center"/>
    </xf>
    <xf numFmtId="166" fontId="1" fillId="0" borderId="0" xfId="1" applyNumberFormat="1" applyBorder="1" applyAlignment="1">
      <alignment vertical="center"/>
    </xf>
    <xf numFmtId="166" fontId="1" fillId="0" borderId="10" xfId="1" applyNumberFormat="1" applyFill="1" applyBorder="1" applyAlignment="1">
      <alignment vertical="center"/>
    </xf>
    <xf numFmtId="166" fontId="1" fillId="0" borderId="0" xfId="1" applyNumberFormat="1" applyFill="1" applyBorder="1" applyAlignment="1">
      <alignment vertical="center"/>
    </xf>
    <xf numFmtId="0" fontId="1" fillId="0" borderId="10" xfId="1" applyFont="1" applyBorder="1" applyAlignment="1">
      <alignment horizontal="left" vertical="center" indent="2"/>
    </xf>
    <xf numFmtId="41" fontId="6" fillId="0" borderId="11" xfId="3" applyNumberFormat="1" applyFont="1" applyBorder="1" applyAlignment="1">
      <alignment vertical="center"/>
    </xf>
    <xf numFmtId="41" fontId="6" fillId="0" borderId="0" xfId="3" applyNumberFormat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1" fillId="0" borderId="10" xfId="1" applyBorder="1" applyAlignment="1">
      <alignment vertical="center"/>
    </xf>
    <xf numFmtId="166" fontId="1" fillId="0" borderId="10" xfId="1" applyNumberFormat="1" applyFill="1" applyBorder="1" applyAlignment="1">
      <alignment horizontal="right" vertical="center"/>
    </xf>
    <xf numFmtId="166" fontId="1" fillId="0" borderId="0" xfId="1" applyNumberFormat="1" applyFill="1" applyBorder="1" applyAlignment="1">
      <alignment horizontal="right" vertical="center"/>
    </xf>
    <xf numFmtId="166" fontId="1" fillId="4" borderId="10" xfId="1" applyNumberFormat="1" applyFill="1" applyBorder="1" applyAlignment="1">
      <alignment horizontal="right" vertical="center"/>
    </xf>
    <xf numFmtId="0" fontId="6" fillId="0" borderId="15" xfId="1" applyFont="1" applyBorder="1" applyAlignment="1">
      <alignment horizontal="left" vertical="center"/>
    </xf>
    <xf numFmtId="41" fontId="6" fillId="0" borderId="15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166" fontId="1" fillId="0" borderId="10" xfId="1" applyNumberFormat="1" applyFont="1" applyBorder="1" applyAlignment="1">
      <alignment vertical="center"/>
    </xf>
    <xf numFmtId="166" fontId="1" fillId="0" borderId="0" xfId="1" applyNumberFormat="1" applyFont="1" applyBorder="1" applyAlignment="1">
      <alignment vertical="center"/>
    </xf>
    <xf numFmtId="0" fontId="1" fillId="0" borderId="17" xfId="1" applyBorder="1" applyAlignment="1">
      <alignment horizontal="left" vertical="center" indent="2"/>
    </xf>
    <xf numFmtId="0" fontId="1" fillId="0" borderId="10" xfId="1" applyFill="1" applyBorder="1" applyAlignment="1">
      <alignment horizontal="left" vertical="center" indent="2"/>
    </xf>
    <xf numFmtId="41" fontId="6" fillId="0" borderId="15" xfId="3" applyNumberFormat="1" applyFont="1" applyBorder="1" applyAlignment="1">
      <alignment vertical="center"/>
    </xf>
    <xf numFmtId="0" fontId="3" fillId="5" borderId="15" xfId="1" applyFont="1" applyFill="1" applyBorder="1" applyAlignment="1">
      <alignment horizontal="left" vertical="center"/>
    </xf>
    <xf numFmtId="41" fontId="3" fillId="5" borderId="15" xfId="3" applyNumberFormat="1" applyFont="1" applyFill="1" applyBorder="1" applyAlignment="1">
      <alignment vertical="center"/>
    </xf>
    <xf numFmtId="41" fontId="3" fillId="5" borderId="15" xfId="3" applyNumberFormat="1" applyFont="1" applyFill="1" applyBorder="1" applyAlignment="1">
      <alignment horizontal="right" vertical="center"/>
    </xf>
    <xf numFmtId="41" fontId="3" fillId="5" borderId="0" xfId="3" applyNumberFormat="1" applyFont="1" applyFill="1" applyBorder="1" applyAlignment="1">
      <alignment horizontal="right" vertical="center"/>
    </xf>
    <xf numFmtId="10" fontId="1" fillId="0" borderId="0" xfId="1" applyNumberFormat="1" applyFill="1" applyAlignment="1">
      <alignment horizontal="right" vertical="center"/>
    </xf>
    <xf numFmtId="166" fontId="9" fillId="3" borderId="19" xfId="3" applyNumberFormat="1" applyFont="1" applyFill="1" applyBorder="1" applyAlignment="1">
      <alignment horizontal="left" vertical="center"/>
    </xf>
    <xf numFmtId="166" fontId="9" fillId="3" borderId="19" xfId="3" applyNumberFormat="1" applyFont="1" applyFill="1" applyBorder="1" applyAlignment="1">
      <alignment horizontal="right" vertical="center"/>
    </xf>
    <xf numFmtId="166" fontId="9" fillId="3" borderId="0" xfId="3" applyNumberFormat="1" applyFont="1" applyFill="1" applyBorder="1" applyAlignment="1">
      <alignment horizontal="right" vertical="center"/>
    </xf>
    <xf numFmtId="0" fontId="6" fillId="0" borderId="8" xfId="1" applyFont="1" applyBorder="1" applyAlignment="1">
      <alignment horizontal="left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166" fontId="1" fillId="0" borderId="20" xfId="1" applyNumberFormat="1" applyFill="1" applyBorder="1" applyAlignment="1">
      <alignment vertical="center"/>
    </xf>
    <xf numFmtId="166" fontId="1" fillId="0" borderId="20" xfId="1" applyNumberFormat="1" applyFill="1" applyBorder="1" applyAlignment="1">
      <alignment horizontal="right" vertical="center"/>
    </xf>
    <xf numFmtId="166" fontId="1" fillId="0" borderId="21" xfId="1" applyNumberFormat="1" applyFill="1" applyBorder="1" applyAlignment="1">
      <alignment vertical="center"/>
    </xf>
    <xf numFmtId="166" fontId="1" fillId="0" borderId="21" xfId="1" applyNumberFormat="1" applyFill="1" applyBorder="1" applyAlignment="1">
      <alignment horizontal="right" vertical="center"/>
    </xf>
    <xf numFmtId="166" fontId="9" fillId="3" borderId="3" xfId="3" applyNumberFormat="1" applyFont="1" applyFill="1" applyBorder="1" applyAlignment="1">
      <alignment horizontal="right" vertical="center"/>
    </xf>
    <xf numFmtId="166" fontId="1" fillId="0" borderId="6" xfId="1" applyNumberFormat="1" applyBorder="1" applyAlignment="1">
      <alignment vertical="center"/>
    </xf>
    <xf numFmtId="166" fontId="1" fillId="0" borderId="6" xfId="1" applyNumberFormat="1" applyBorder="1" applyAlignment="1">
      <alignment horizontal="right" vertical="center"/>
    </xf>
    <xf numFmtId="166" fontId="1" fillId="0" borderId="0" xfId="1" applyNumberFormat="1" applyBorder="1" applyAlignment="1">
      <alignment horizontal="right" vertical="center"/>
    </xf>
    <xf numFmtId="0" fontId="3" fillId="5" borderId="20" xfId="1" applyFont="1" applyFill="1" applyBorder="1" applyAlignment="1">
      <alignment horizontal="left" vertical="center"/>
    </xf>
    <xf numFmtId="166" fontId="3" fillId="5" borderId="22" xfId="3" applyNumberFormat="1" applyFont="1" applyFill="1" applyBorder="1" applyAlignment="1">
      <alignment vertical="center"/>
    </xf>
    <xf numFmtId="166" fontId="3" fillId="5" borderId="22" xfId="3" applyNumberFormat="1" applyFont="1" applyFill="1" applyBorder="1" applyAlignment="1">
      <alignment horizontal="right" vertical="center"/>
    </xf>
    <xf numFmtId="166" fontId="3" fillId="5" borderId="0" xfId="3" applyNumberFormat="1" applyFont="1" applyFill="1" applyBorder="1" applyAlignment="1">
      <alignment horizontal="right" vertical="center"/>
    </xf>
    <xf numFmtId="49" fontId="9" fillId="5" borderId="3" xfId="1" applyNumberFormat="1" applyFont="1" applyFill="1" applyBorder="1" applyAlignment="1">
      <alignment horizontal="left" vertical="center"/>
    </xf>
    <xf numFmtId="166" fontId="9" fillId="5" borderId="3" xfId="3" applyNumberFormat="1" applyFont="1" applyFill="1" applyBorder="1" applyAlignment="1">
      <alignment vertical="center"/>
    </xf>
    <xf numFmtId="166" fontId="9" fillId="5" borderId="3" xfId="3" applyNumberFormat="1" applyFont="1" applyFill="1" applyBorder="1" applyAlignment="1">
      <alignment horizontal="right" vertical="center"/>
    </xf>
    <xf numFmtId="166" fontId="9" fillId="5" borderId="0" xfId="3" applyNumberFormat="1" applyFont="1" applyFill="1" applyBorder="1" applyAlignment="1">
      <alignment horizontal="right" vertical="center"/>
    </xf>
    <xf numFmtId="166" fontId="1" fillId="0" borderId="10" xfId="3" applyNumberFormat="1" applyBorder="1" applyAlignment="1"/>
    <xf numFmtId="166" fontId="1" fillId="0" borderId="0" xfId="3" applyNumberFormat="1" applyBorder="1" applyAlignment="1"/>
    <xf numFmtId="0" fontId="1" fillId="0" borderId="0" xfId="1" applyAlignment="1"/>
    <xf numFmtId="166" fontId="1" fillId="0" borderId="10" xfId="3" applyNumberFormat="1" applyFill="1" applyBorder="1" applyAlignment="1"/>
    <xf numFmtId="166" fontId="6" fillId="0" borderId="10" xfId="3" applyNumberFormat="1" applyFont="1" applyBorder="1" applyAlignment="1"/>
    <xf numFmtId="166" fontId="6" fillId="0" borderId="0" xfId="3" applyNumberFormat="1" applyFont="1" applyBorder="1" applyAlignment="1"/>
    <xf numFmtId="166" fontId="3" fillId="0" borderId="11" xfId="3" applyNumberFormat="1" applyFont="1" applyBorder="1" applyAlignment="1"/>
    <xf numFmtId="166" fontId="3" fillId="0" borderId="0" xfId="3" applyNumberFormat="1" applyFont="1" applyBorder="1" applyAlignment="1"/>
    <xf numFmtId="0" fontId="7" fillId="0" borderId="0" xfId="1" applyFont="1" applyAlignment="1"/>
    <xf numFmtId="166" fontId="1" fillId="0" borderId="6" xfId="3" applyNumberFormat="1" applyBorder="1" applyAlignment="1"/>
    <xf numFmtId="166" fontId="6" fillId="0" borderId="6" xfId="3" applyNumberFormat="1" applyFont="1" applyBorder="1" applyAlignment="1"/>
    <xf numFmtId="166" fontId="1" fillId="0" borderId="10" xfId="3" applyNumberFormat="1" applyFont="1" applyFill="1" applyBorder="1" applyAlignment="1"/>
    <xf numFmtId="166" fontId="1" fillId="0" borderId="0" xfId="3" applyNumberFormat="1" applyFont="1" applyFill="1" applyBorder="1" applyAlignment="1"/>
  </cellXfs>
  <cellStyles count="4">
    <cellStyle name="Comma 4" xfId="3" xr:uid="{00000000-0005-0000-0000-000000000000}"/>
    <cellStyle name="Normal" xfId="0" builtinId="0"/>
    <cellStyle name="Normal 6" xfId="1" xr:uid="{00000000-0005-0000-0000-000002000000}"/>
    <cellStyle name="Percent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0</xdr:row>
      <xdr:rowOff>1</xdr:rowOff>
    </xdr:from>
    <xdr:to>
      <xdr:col>0</xdr:col>
      <xdr:colOff>2806700</xdr:colOff>
      <xdr:row>2</xdr:row>
      <xdr:rowOff>68581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8" y="1"/>
          <a:ext cx="268547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0</xdr:col>
      <xdr:colOff>3209925</xdr:colOff>
      <xdr:row>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3209925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Budget%20-%20Tax%20Rate/Budget%202019/Proposed%20Budget/1.c_FY19%20CH%20Proposed%20Budget%20Base%20Scenario%20w%20Sendero%20w%20High%20Risk%20Map%201.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Budget%20-%20Tax%20Rate/Budget%202019/Proposed%20Budget/1.b_FY19%20CH%20Proposed%20Budget%20Base%20Scenario%20w%20Sendero%20Wind%20Down%201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A"/>
      <sheetName val="Attach B"/>
      <sheetName val="HCD Expenses"/>
      <sheetName val="MM Presentation"/>
      <sheetName val="UMCB YOY"/>
      <sheetName val="Administrative Expenses"/>
      <sheetName val="IGT"/>
      <sheetName val="All Depts 06.11.18"/>
      <sheetName val="Emerg Reserve Calc FY19"/>
      <sheetName val="FY 2019 Tax Rate Reference"/>
      <sheetName val="FY18 YE Estimate"/>
      <sheetName val="Attach A Presentations"/>
      <sheetName val="Attach B Presentations"/>
      <sheetName val="Sheet2"/>
      <sheetName val="Sheet1"/>
      <sheetName val="Summary slide"/>
      <sheetName val="Contracts"/>
      <sheetName val="ETC List"/>
      <sheetName val="Capital Slide"/>
      <sheetName val="Capital Slide V 2"/>
    </sheetNames>
    <sheetDataSet>
      <sheetData sheetId="0">
        <row r="9">
          <cell r="I9">
            <v>196861527</v>
          </cell>
        </row>
        <row r="10">
          <cell r="I10">
            <v>18067936.670000002</v>
          </cell>
        </row>
        <row r="11">
          <cell r="I11">
            <v>400000</v>
          </cell>
        </row>
        <row r="12">
          <cell r="I12">
            <v>2000000</v>
          </cell>
        </row>
        <row r="15">
          <cell r="I15">
            <v>41039184</v>
          </cell>
        </row>
        <row r="20">
          <cell r="I20">
            <v>247343599.78</v>
          </cell>
        </row>
        <row r="21">
          <cell r="I21">
            <v>9321838</v>
          </cell>
        </row>
        <row r="22">
          <cell r="I22">
            <v>1703210</v>
          </cell>
        </row>
        <row r="30">
          <cell r="I30">
            <v>32313545.869602334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4">
          <cell r="C64">
            <v>169471415</v>
          </cell>
          <cell r="G64">
            <v>198137060.79414612</v>
          </cell>
        </row>
        <row r="81">
          <cell r="C81">
            <v>10101770</v>
          </cell>
          <cell r="G81">
            <v>8303826.8044467503</v>
          </cell>
        </row>
        <row r="86">
          <cell r="C86">
            <v>1444514</v>
          </cell>
          <cell r="G86">
            <v>1652760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A"/>
      <sheetName val="Attach B"/>
      <sheetName val="HCD Expenses"/>
      <sheetName val="UMCB YOY"/>
      <sheetName val="Administrative Expenses"/>
      <sheetName val="IGT"/>
      <sheetName val="All Depts 06.11.18"/>
      <sheetName val="Emerg Reserve Calc FY19"/>
      <sheetName val="FY 2019 Tax Rate Reference"/>
      <sheetName val="FY18 YE Estimate"/>
      <sheetName val="Attach A Presentations"/>
      <sheetName val="Attach B Presentations"/>
      <sheetName val="Sheet2"/>
      <sheetName val="Sheet1"/>
      <sheetName val="MM Presentation"/>
      <sheetName val="Summary slide"/>
      <sheetName val="Contracts"/>
      <sheetName val="ETC List"/>
      <sheetName val="Capital Slide"/>
      <sheetName val="Capital Slide V 2"/>
    </sheetNames>
    <sheetDataSet>
      <sheetData sheetId="0" refreshError="1"/>
      <sheetData sheetId="1" refreshError="1">
        <row r="7">
          <cell r="I7">
            <v>24000000</v>
          </cell>
        </row>
        <row r="8">
          <cell r="I8">
            <v>24500000</v>
          </cell>
        </row>
        <row r="9">
          <cell r="I9">
            <v>35000000</v>
          </cell>
        </row>
        <row r="10">
          <cell r="I10">
            <v>27500000</v>
          </cell>
        </row>
        <row r="11">
          <cell r="I11">
            <v>27500000</v>
          </cell>
        </row>
        <row r="12">
          <cell r="I12">
            <v>630000</v>
          </cell>
        </row>
        <row r="15">
          <cell r="I15">
            <v>34000000</v>
          </cell>
        </row>
        <row r="16">
          <cell r="I16">
            <v>0</v>
          </cell>
        </row>
        <row r="17">
          <cell r="I17">
            <v>790344</v>
          </cell>
        </row>
        <row r="18">
          <cell r="I18">
            <v>1080000</v>
          </cell>
        </row>
        <row r="19">
          <cell r="I19">
            <v>719989.56</v>
          </cell>
        </row>
        <row r="20">
          <cell r="I20">
            <v>768500</v>
          </cell>
        </row>
        <row r="21">
          <cell r="I21">
            <v>2000000</v>
          </cell>
        </row>
        <row r="28">
          <cell r="I28">
            <v>1400000</v>
          </cell>
        </row>
        <row r="32">
          <cell r="I32">
            <v>2916000</v>
          </cell>
        </row>
        <row r="34">
          <cell r="I34">
            <v>3689436</v>
          </cell>
        </row>
        <row r="35">
          <cell r="I35">
            <v>46200</v>
          </cell>
        </row>
        <row r="36">
          <cell r="I36">
            <v>0</v>
          </cell>
        </row>
        <row r="37">
          <cell r="I37">
            <v>459590</v>
          </cell>
        </row>
        <row r="38">
          <cell r="I38">
            <v>365000</v>
          </cell>
        </row>
        <row r="39">
          <cell r="I39">
            <v>414868</v>
          </cell>
        </row>
        <row r="40">
          <cell r="I40">
            <v>350000</v>
          </cell>
        </row>
        <row r="41">
          <cell r="I41">
            <v>599320</v>
          </cell>
        </row>
        <row r="43">
          <cell r="I43">
            <v>912501.67</v>
          </cell>
        </row>
        <row r="44">
          <cell r="I44">
            <v>1091890</v>
          </cell>
        </row>
        <row r="45">
          <cell r="I45">
            <v>133750</v>
          </cell>
        </row>
        <row r="46">
          <cell r="I46">
            <v>40285</v>
          </cell>
        </row>
        <row r="47">
          <cell r="G47">
            <v>358713</v>
          </cell>
          <cell r="I47">
            <v>315454.71999999997</v>
          </cell>
        </row>
        <row r="48">
          <cell r="I48">
            <v>11125542.23</v>
          </cell>
        </row>
        <row r="49">
          <cell r="I49">
            <v>407480</v>
          </cell>
        </row>
        <row r="52">
          <cell r="I52">
            <v>2840000</v>
          </cell>
        </row>
        <row r="53">
          <cell r="I53">
            <v>1000000</v>
          </cell>
        </row>
        <row r="58">
          <cell r="I58">
            <v>1030000</v>
          </cell>
        </row>
        <row r="59">
          <cell r="I59">
            <v>342818</v>
          </cell>
        </row>
        <row r="65">
          <cell r="I65">
            <v>4690997</v>
          </cell>
        </row>
        <row r="66">
          <cell r="I66">
            <v>1198320</v>
          </cell>
        </row>
        <row r="67">
          <cell r="I67">
            <v>1026500</v>
          </cell>
        </row>
        <row r="68">
          <cell r="I68">
            <v>110000</v>
          </cell>
        </row>
        <row r="69">
          <cell r="I69">
            <v>165150</v>
          </cell>
        </row>
        <row r="70">
          <cell r="I70">
            <v>495000</v>
          </cell>
        </row>
        <row r="71">
          <cell r="I71">
            <v>194800</v>
          </cell>
        </row>
        <row r="72">
          <cell r="I72">
            <v>308096</v>
          </cell>
        </row>
        <row r="73">
          <cell r="I73">
            <v>150030</v>
          </cell>
        </row>
        <row r="74">
          <cell r="I74">
            <v>147000</v>
          </cell>
        </row>
        <row r="75">
          <cell r="I75">
            <v>117820</v>
          </cell>
        </row>
        <row r="76">
          <cell r="I76">
            <v>176495</v>
          </cell>
        </row>
        <row r="77">
          <cell r="I77">
            <v>541630</v>
          </cell>
        </row>
        <row r="81">
          <cell r="I81">
            <v>1018710</v>
          </cell>
        </row>
        <row r="82">
          <cell r="I82">
            <v>684500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workbookViewId="0">
      <selection activeCell="U31" sqref="U31"/>
    </sheetView>
  </sheetViews>
  <sheetFormatPr baseColWidth="10" defaultColWidth="8.83203125" defaultRowHeight="15" outlineLevelRow="1" x14ac:dyDescent="0.2"/>
  <cols>
    <col min="1" max="1" width="52.83203125" customWidth="1"/>
    <col min="2" max="2" width="1.6640625" customWidth="1"/>
    <col min="3" max="4" width="0" hidden="1" customWidth="1"/>
    <col min="5" max="5" width="15.6640625" customWidth="1"/>
    <col min="6" max="7" width="0" hidden="1" customWidth="1"/>
    <col min="8" max="8" width="2.1640625" customWidth="1"/>
    <col min="9" max="9" width="16.33203125" customWidth="1"/>
  </cols>
  <sheetData>
    <row r="2" spans="1:9" ht="18" x14ac:dyDescent="0.2">
      <c r="A2" s="1"/>
      <c r="B2" s="2"/>
      <c r="C2" s="2"/>
      <c r="D2" s="2"/>
      <c r="E2" s="3"/>
      <c r="F2" s="3"/>
      <c r="G2" s="3"/>
      <c r="H2" s="3"/>
      <c r="I2" s="4" t="s">
        <v>0</v>
      </c>
    </row>
    <row r="3" spans="1:9" ht="18" x14ac:dyDescent="0.2">
      <c r="A3" s="1"/>
      <c r="B3" s="2"/>
      <c r="C3" s="2"/>
      <c r="D3" s="2"/>
      <c r="E3" s="3"/>
      <c r="F3" s="3"/>
      <c r="G3" s="3"/>
      <c r="H3" s="3"/>
      <c r="I3" s="4"/>
    </row>
    <row r="4" spans="1:9" x14ac:dyDescent="0.2">
      <c r="A4" s="5" t="s">
        <v>92</v>
      </c>
      <c r="B4" s="2"/>
      <c r="C4" s="2"/>
      <c r="D4" s="2"/>
      <c r="E4" s="3"/>
      <c r="F4" s="3"/>
      <c r="G4" s="3"/>
      <c r="H4" s="3"/>
      <c r="I4" s="3"/>
    </row>
    <row r="5" spans="1:9" ht="16" thickBot="1" x14ac:dyDescent="0.25">
      <c r="A5" s="5"/>
      <c r="B5" s="2"/>
      <c r="C5" s="2"/>
      <c r="D5" s="2"/>
      <c r="E5" s="3"/>
      <c r="F5" s="3"/>
      <c r="G5" s="3"/>
      <c r="H5" s="3"/>
      <c r="I5" s="3"/>
    </row>
    <row r="6" spans="1:9" ht="71" thickBot="1" x14ac:dyDescent="0.25">
      <c r="A6" s="6" t="s">
        <v>1</v>
      </c>
      <c r="B6" s="7"/>
      <c r="C6" s="8" t="s">
        <v>2</v>
      </c>
      <c r="D6" s="9"/>
      <c r="E6" s="8" t="s">
        <v>3</v>
      </c>
      <c r="F6" s="10"/>
      <c r="G6" s="11" t="s">
        <v>4</v>
      </c>
      <c r="H6" s="12"/>
      <c r="I6" s="8" t="s">
        <v>94</v>
      </c>
    </row>
    <row r="7" spans="1:9" ht="16" thickBot="1" x14ac:dyDescent="0.25">
      <c r="A7" s="13"/>
      <c r="B7" s="14"/>
      <c r="C7" s="15"/>
      <c r="D7" s="14"/>
      <c r="E7" s="15"/>
      <c r="F7" s="16"/>
      <c r="G7" s="16"/>
      <c r="H7" s="3"/>
      <c r="I7" s="15"/>
    </row>
    <row r="8" spans="1:9" x14ac:dyDescent="0.2">
      <c r="A8" s="17" t="s">
        <v>5</v>
      </c>
      <c r="B8" s="14"/>
      <c r="C8" s="18">
        <v>0.110541</v>
      </c>
      <c r="D8" s="14"/>
      <c r="E8" s="19">
        <v>0.10738520349550704</v>
      </c>
      <c r="F8" s="20"/>
      <c r="G8" s="19">
        <v>0.10738520349550704</v>
      </c>
      <c r="H8" s="3"/>
      <c r="I8" s="19">
        <v>0.105221</v>
      </c>
    </row>
    <row r="9" spans="1:9" x14ac:dyDescent="0.2">
      <c r="A9" s="21"/>
      <c r="B9" s="14"/>
      <c r="C9" s="22"/>
      <c r="D9" s="14"/>
      <c r="E9" s="22"/>
      <c r="F9" s="23"/>
      <c r="G9" s="22"/>
      <c r="H9" s="3"/>
      <c r="I9" s="22"/>
    </row>
    <row r="10" spans="1:9" ht="18" x14ac:dyDescent="0.2">
      <c r="A10" s="24" t="s">
        <v>6</v>
      </c>
      <c r="B10" s="25"/>
      <c r="C10" s="26"/>
      <c r="D10" s="25"/>
      <c r="E10" s="26"/>
      <c r="F10" s="16"/>
      <c r="G10" s="26"/>
      <c r="H10" s="3"/>
      <c r="I10" s="26"/>
    </row>
    <row r="11" spans="1:9" x14ac:dyDescent="0.2">
      <c r="A11" s="27" t="s">
        <v>7</v>
      </c>
      <c r="B11" s="28"/>
      <c r="C11" s="29">
        <v>170889155</v>
      </c>
      <c r="D11" s="28"/>
      <c r="E11" s="148">
        <v>181839053.72542182</v>
      </c>
      <c r="F11" s="149"/>
      <c r="G11" s="148">
        <v>181839053.72542182</v>
      </c>
      <c r="H11" s="150"/>
      <c r="I11" s="148">
        <f>+'[1]Attach A'!I9</f>
        <v>196861527</v>
      </c>
    </row>
    <row r="12" spans="1:9" x14ac:dyDescent="0.2">
      <c r="A12" s="30" t="s">
        <v>8</v>
      </c>
      <c r="B12" s="14"/>
      <c r="C12" s="29">
        <v>29301403</v>
      </c>
      <c r="D12" s="14"/>
      <c r="E12" s="148">
        <v>10303467</v>
      </c>
      <c r="F12" s="149"/>
      <c r="G12" s="148">
        <v>10303467</v>
      </c>
      <c r="H12" s="150"/>
      <c r="I12" s="148">
        <f>+'[1]Attach A'!I10</f>
        <v>18067936.670000002</v>
      </c>
    </row>
    <row r="13" spans="1:9" x14ac:dyDescent="0.2">
      <c r="A13" s="31" t="s">
        <v>9</v>
      </c>
      <c r="B13" s="14"/>
      <c r="C13" s="29">
        <f>1082506+49400</f>
        <v>1131906</v>
      </c>
      <c r="D13" s="14"/>
      <c r="E13" s="148">
        <v>400000</v>
      </c>
      <c r="F13" s="149"/>
      <c r="G13" s="151">
        <v>2000000</v>
      </c>
      <c r="H13" s="150"/>
      <c r="I13" s="148">
        <f>+'[1]Attach A'!I11</f>
        <v>400000</v>
      </c>
    </row>
    <row r="14" spans="1:9" x14ac:dyDescent="0.2">
      <c r="A14" s="27" t="s">
        <v>10</v>
      </c>
      <c r="B14" s="14"/>
      <c r="C14" s="29">
        <v>3510614</v>
      </c>
      <c r="D14" s="14"/>
      <c r="E14" s="148">
        <v>1800000</v>
      </c>
      <c r="F14" s="149"/>
      <c r="G14" s="151">
        <v>3430000</v>
      </c>
      <c r="H14" s="150"/>
      <c r="I14" s="148">
        <f>+'[1]Attach A'!I12</f>
        <v>2000000</v>
      </c>
    </row>
    <row r="15" spans="1:9" x14ac:dyDescent="0.2">
      <c r="A15" s="27" t="s">
        <v>11</v>
      </c>
      <c r="B15" s="14"/>
      <c r="C15" s="32">
        <f>SUM(C11:C14)</f>
        <v>204833078</v>
      </c>
      <c r="D15" s="14"/>
      <c r="E15" s="152">
        <v>194342520.72542182</v>
      </c>
      <c r="F15" s="153"/>
      <c r="G15" s="152">
        <f>SUM(G11:G14)</f>
        <v>197572520.72542182</v>
      </c>
      <c r="H15" s="150"/>
      <c r="I15" s="152">
        <f>SUM(I11:I14)</f>
        <v>217329463.67000002</v>
      </c>
    </row>
    <row r="16" spans="1:9" x14ac:dyDescent="0.2">
      <c r="A16" s="33" t="s">
        <v>12</v>
      </c>
      <c r="B16" s="34"/>
      <c r="C16" s="35">
        <v>51876745</v>
      </c>
      <c r="D16" s="34"/>
      <c r="E16" s="148">
        <v>43482960</v>
      </c>
      <c r="F16" s="149"/>
      <c r="G16" s="151">
        <v>51560311</v>
      </c>
      <c r="H16" s="150"/>
      <c r="I16" s="148">
        <f>+'[1]Attach A'!I15</f>
        <v>41039184</v>
      </c>
    </row>
    <row r="17" spans="1:9" ht="16" thickBot="1" x14ac:dyDescent="0.25">
      <c r="A17" s="36" t="s">
        <v>13</v>
      </c>
      <c r="B17" s="37"/>
      <c r="C17" s="38">
        <f>+C15+C16</f>
        <v>256709823</v>
      </c>
      <c r="D17" s="37"/>
      <c r="E17" s="154">
        <v>237825480.72542182</v>
      </c>
      <c r="F17" s="155"/>
      <c r="G17" s="154">
        <f>+G15+G16</f>
        <v>249132831.72542182</v>
      </c>
      <c r="H17" s="156"/>
      <c r="I17" s="154">
        <f>+I16+I15</f>
        <v>258368647.67000002</v>
      </c>
    </row>
    <row r="18" spans="1:9" ht="16" thickTop="1" x14ac:dyDescent="0.2">
      <c r="A18" s="39"/>
      <c r="B18" s="14"/>
      <c r="C18" s="40"/>
      <c r="D18" s="14"/>
      <c r="E18" s="157"/>
      <c r="F18" s="149"/>
      <c r="G18" s="157"/>
      <c r="H18" s="150"/>
      <c r="I18" s="157"/>
    </row>
    <row r="19" spans="1:9" x14ac:dyDescent="0.2">
      <c r="A19" s="41"/>
      <c r="B19" s="14"/>
      <c r="C19" s="29"/>
      <c r="D19" s="14"/>
      <c r="E19" s="148"/>
      <c r="F19" s="149"/>
      <c r="G19" s="148"/>
      <c r="H19" s="150"/>
      <c r="I19" s="148"/>
    </row>
    <row r="20" spans="1:9" ht="18" x14ac:dyDescent="0.2">
      <c r="A20" s="42" t="s">
        <v>14</v>
      </c>
      <c r="B20" s="14"/>
      <c r="C20" s="29"/>
      <c r="D20" s="14"/>
      <c r="E20" s="148"/>
      <c r="F20" s="149"/>
      <c r="G20" s="148"/>
      <c r="H20" s="150"/>
      <c r="I20" s="148"/>
    </row>
    <row r="21" spans="1:9" x14ac:dyDescent="0.2">
      <c r="A21" s="31" t="s">
        <v>15</v>
      </c>
      <c r="B21" s="14"/>
      <c r="C21" s="29">
        <f>+'[1]Attach B Presentations'!C64</f>
        <v>169471415</v>
      </c>
      <c r="D21" s="14"/>
      <c r="E21" s="148">
        <v>227029204.92097503</v>
      </c>
      <c r="F21" s="149"/>
      <c r="G21" s="151">
        <f>+'[1]Attach B Presentations'!G64</f>
        <v>198137060.79414612</v>
      </c>
      <c r="H21" s="150"/>
      <c r="I21" s="148">
        <f>+'[1]Attach A'!I20</f>
        <v>247343599.78</v>
      </c>
    </row>
    <row r="22" spans="1:9" x14ac:dyDescent="0.2">
      <c r="A22" s="27" t="s">
        <v>16</v>
      </c>
      <c r="B22" s="14"/>
      <c r="C22" s="29">
        <f>+'[1]Attach B Presentations'!C81</f>
        <v>10101770</v>
      </c>
      <c r="D22" s="14"/>
      <c r="E22" s="148">
        <v>9143515.8044467513</v>
      </c>
      <c r="F22" s="149"/>
      <c r="G22" s="151">
        <f>+'[1]Attach B Presentations'!G81</f>
        <v>8303826.8044467503</v>
      </c>
      <c r="H22" s="150"/>
      <c r="I22" s="148">
        <f>+'[1]Attach A'!I21</f>
        <v>9321838</v>
      </c>
    </row>
    <row r="23" spans="1:9" x14ac:dyDescent="0.2">
      <c r="A23" s="31" t="s">
        <v>17</v>
      </c>
      <c r="B23" s="14"/>
      <c r="C23" s="29">
        <f>+'[1]Attach B Presentations'!C86</f>
        <v>1444514</v>
      </c>
      <c r="D23" s="14"/>
      <c r="E23" s="148">
        <v>1652760</v>
      </c>
      <c r="F23" s="149"/>
      <c r="G23" s="148">
        <f>+'[1]Attach B Presentations'!G86</f>
        <v>1652760</v>
      </c>
      <c r="H23" s="150"/>
      <c r="I23" s="148">
        <f>+'[1]Attach A'!I22</f>
        <v>1703210</v>
      </c>
    </row>
    <row r="24" spans="1:9" ht="16" thickBot="1" x14ac:dyDescent="0.25">
      <c r="A24" s="36" t="s">
        <v>18</v>
      </c>
      <c r="B24" s="43"/>
      <c r="C24" s="38">
        <f>SUM(C21:C23)</f>
        <v>181017699</v>
      </c>
      <c r="D24" s="43"/>
      <c r="E24" s="154">
        <v>237825480.72542179</v>
      </c>
      <c r="F24" s="155"/>
      <c r="G24" s="154">
        <f>SUM(G21:G23)</f>
        <v>208093647.59859288</v>
      </c>
      <c r="H24" s="156"/>
      <c r="I24" s="154">
        <f>SUM(I21:I23)</f>
        <v>258368647.78</v>
      </c>
    </row>
    <row r="25" spans="1:9" ht="16" thickTop="1" x14ac:dyDescent="0.2">
      <c r="A25" s="44"/>
      <c r="B25" s="14"/>
      <c r="C25" s="45"/>
      <c r="D25" s="14"/>
      <c r="E25" s="158"/>
      <c r="F25" s="153"/>
      <c r="G25" s="158"/>
      <c r="H25" s="150"/>
      <c r="I25" s="158"/>
    </row>
    <row r="26" spans="1:9" x14ac:dyDescent="0.2">
      <c r="A26" s="41"/>
      <c r="B26" s="14"/>
      <c r="C26" s="29"/>
      <c r="D26" s="14"/>
      <c r="E26" s="148"/>
      <c r="F26" s="149"/>
      <c r="G26" s="148"/>
      <c r="H26" s="150"/>
      <c r="I26" s="148"/>
    </row>
    <row r="27" spans="1:9" ht="18" x14ac:dyDescent="0.2">
      <c r="A27" s="24" t="s">
        <v>19</v>
      </c>
      <c r="B27" s="14"/>
      <c r="C27" s="29"/>
      <c r="D27" s="14"/>
      <c r="E27" s="148"/>
      <c r="F27" s="149"/>
      <c r="G27" s="148"/>
      <c r="H27" s="150"/>
      <c r="I27" s="148"/>
    </row>
    <row r="28" spans="1:9" hidden="1" outlineLevel="1" x14ac:dyDescent="0.2">
      <c r="A28" s="27" t="s">
        <v>20</v>
      </c>
      <c r="B28" s="14"/>
      <c r="C28" s="46"/>
      <c r="D28" s="14"/>
      <c r="E28" s="159"/>
      <c r="F28" s="160"/>
      <c r="G28" s="159"/>
      <c r="H28" s="150"/>
      <c r="I28" s="159"/>
    </row>
    <row r="29" spans="1:9" hidden="1" outlineLevel="1" x14ac:dyDescent="0.2">
      <c r="A29" s="33" t="s">
        <v>21</v>
      </c>
      <c r="B29" s="14"/>
      <c r="C29" s="46"/>
      <c r="D29" s="14"/>
      <c r="E29" s="159"/>
      <c r="F29" s="160"/>
      <c r="G29" s="159"/>
      <c r="H29" s="150"/>
      <c r="I29" s="159"/>
    </row>
    <row r="30" spans="1:9" hidden="1" outlineLevel="1" x14ac:dyDescent="0.2">
      <c r="A30" s="33" t="s">
        <v>12</v>
      </c>
      <c r="B30" s="14"/>
      <c r="C30" s="46"/>
      <c r="D30" s="14"/>
      <c r="E30" s="159"/>
      <c r="F30" s="160"/>
      <c r="G30" s="159"/>
      <c r="H30" s="150"/>
      <c r="I30" s="159"/>
    </row>
    <row r="31" spans="1:9" collapsed="1" x14ac:dyDescent="0.2">
      <c r="A31" s="33" t="s">
        <v>22</v>
      </c>
      <c r="B31" s="14"/>
      <c r="C31" s="46">
        <v>29895000</v>
      </c>
      <c r="D31" s="14"/>
      <c r="E31" s="159">
        <v>31313545.869602334</v>
      </c>
      <c r="F31" s="160"/>
      <c r="G31" s="159">
        <v>31313545.869602334</v>
      </c>
      <c r="H31" s="150"/>
      <c r="I31" s="159">
        <f>+'[1]Attach A'!I30</f>
        <v>32313545.869602334</v>
      </c>
    </row>
    <row r="32" spans="1:9" x14ac:dyDescent="0.2">
      <c r="A32" s="41" t="s">
        <v>23</v>
      </c>
      <c r="B32" s="25"/>
      <c r="C32" s="32">
        <v>31313545.869602334</v>
      </c>
      <c r="D32" s="25"/>
      <c r="E32" s="152">
        <v>31313545.869602334</v>
      </c>
      <c r="F32" s="153"/>
      <c r="G32" s="152">
        <v>31313545.869602334</v>
      </c>
      <c r="H32" s="150"/>
      <c r="I32" s="152">
        <f>SUM(I28:I31)</f>
        <v>32313545.869602334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tabSelected="1" workbookViewId="0">
      <selection activeCell="M20" sqref="M20"/>
    </sheetView>
  </sheetViews>
  <sheetFormatPr baseColWidth="10" defaultColWidth="8.83203125" defaultRowHeight="15" outlineLevelRow="1" x14ac:dyDescent="0.2"/>
  <cols>
    <col min="1" max="1" width="51.1640625" customWidth="1"/>
    <col min="2" max="3" width="0" hidden="1" customWidth="1"/>
    <col min="4" max="4" width="1.6640625" customWidth="1"/>
    <col min="5" max="5" width="15.83203125" customWidth="1"/>
    <col min="6" max="7" width="0" hidden="1" customWidth="1"/>
    <col min="8" max="8" width="2.6640625" customWidth="1"/>
    <col min="9" max="9" width="15.83203125" customWidth="1"/>
  </cols>
  <sheetData>
    <row r="1" spans="1:9" x14ac:dyDescent="0.2">
      <c r="A1" s="12"/>
      <c r="B1" s="83"/>
      <c r="C1" s="83"/>
      <c r="D1" s="83"/>
      <c r="E1" s="12"/>
      <c r="F1" s="12"/>
      <c r="G1" s="12"/>
      <c r="H1" s="83"/>
      <c r="I1" s="12"/>
    </row>
    <row r="2" spans="1:9" x14ac:dyDescent="0.2">
      <c r="A2" s="84"/>
      <c r="B2" s="84"/>
      <c r="C2" s="84"/>
      <c r="D2" s="84"/>
      <c r="E2" s="12"/>
      <c r="F2" s="12"/>
      <c r="G2" s="12"/>
      <c r="H2" s="85"/>
      <c r="I2" s="4" t="s">
        <v>24</v>
      </c>
    </row>
    <row r="3" spans="1:9" x14ac:dyDescent="0.2">
      <c r="A3" s="84"/>
      <c r="B3" s="84"/>
      <c r="C3" s="84"/>
      <c r="D3" s="84"/>
      <c r="E3" s="12"/>
      <c r="F3" s="12"/>
      <c r="G3" s="12"/>
      <c r="H3" s="85"/>
      <c r="I3" s="4"/>
    </row>
    <row r="4" spans="1:9" x14ac:dyDescent="0.2">
      <c r="A4" s="5" t="s">
        <v>92</v>
      </c>
      <c r="B4" s="83"/>
      <c r="C4" s="83"/>
      <c r="D4" s="83"/>
      <c r="E4" s="86"/>
      <c r="F4" s="86"/>
      <c r="G4" s="86"/>
      <c r="H4" s="87"/>
      <c r="I4" s="12"/>
    </row>
    <row r="5" spans="1:9" ht="16" thickBot="1" x14ac:dyDescent="0.25">
      <c r="A5" s="5"/>
      <c r="B5" s="83"/>
      <c r="C5" s="83"/>
      <c r="D5" s="83"/>
      <c r="E5" s="86"/>
      <c r="F5" s="86"/>
      <c r="G5" s="86"/>
      <c r="H5" s="87"/>
      <c r="I5" s="12"/>
    </row>
    <row r="6" spans="1:9" ht="71" thickBot="1" x14ac:dyDescent="0.25">
      <c r="A6" s="88" t="s">
        <v>1</v>
      </c>
      <c r="B6" s="47"/>
      <c r="C6" s="11" t="s">
        <v>2</v>
      </c>
      <c r="D6" s="47"/>
      <c r="E6" s="11" t="s">
        <v>25</v>
      </c>
      <c r="F6" s="10"/>
      <c r="G6" s="11" t="s">
        <v>4</v>
      </c>
      <c r="H6" s="10"/>
      <c r="I6" s="11" t="s">
        <v>93</v>
      </c>
    </row>
    <row r="7" spans="1:9" ht="16" thickBot="1" x14ac:dyDescent="0.25">
      <c r="A7" s="89"/>
      <c r="B7" s="47"/>
      <c r="C7" s="90"/>
      <c r="D7" s="47"/>
      <c r="E7" s="90"/>
      <c r="F7" s="91"/>
      <c r="G7" s="91"/>
      <c r="H7" s="91"/>
      <c r="I7" s="90"/>
    </row>
    <row r="8" spans="1:9" ht="17" thickBot="1" x14ac:dyDescent="0.25">
      <c r="A8" s="92" t="s">
        <v>26</v>
      </c>
      <c r="B8" s="48"/>
      <c r="C8" s="93"/>
      <c r="D8" s="48"/>
      <c r="E8" s="93"/>
      <c r="F8" s="49"/>
      <c r="G8" s="94"/>
      <c r="H8" s="49"/>
      <c r="I8" s="93"/>
    </row>
    <row r="9" spans="1:9" x14ac:dyDescent="0.2">
      <c r="A9" s="95" t="s">
        <v>27</v>
      </c>
      <c r="B9" s="47"/>
      <c r="C9" s="96"/>
      <c r="D9" s="47"/>
      <c r="E9" s="96"/>
      <c r="F9" s="97"/>
      <c r="G9" s="97"/>
      <c r="H9" s="9"/>
      <c r="I9" s="96"/>
    </row>
    <row r="10" spans="1:9" x14ac:dyDescent="0.2">
      <c r="A10" s="98" t="s">
        <v>28</v>
      </c>
      <c r="B10" s="47"/>
      <c r="C10" s="99">
        <v>18839209</v>
      </c>
      <c r="D10" s="47"/>
      <c r="E10" s="99">
        <v>24000000</v>
      </c>
      <c r="F10" s="100"/>
      <c r="G10" s="101">
        <v>15965283</v>
      </c>
      <c r="H10" s="102"/>
      <c r="I10" s="99">
        <f>+'[2]Attach B'!I7</f>
        <v>24000000</v>
      </c>
    </row>
    <row r="11" spans="1:9" x14ac:dyDescent="0.2">
      <c r="A11" s="98" t="s">
        <v>29</v>
      </c>
      <c r="B11" s="47"/>
      <c r="C11" s="99">
        <f>17656649</f>
        <v>17656649</v>
      </c>
      <c r="D11" s="47"/>
      <c r="E11" s="99">
        <v>25000000</v>
      </c>
      <c r="F11" s="100"/>
      <c r="G11" s="101">
        <v>12667158</v>
      </c>
      <c r="H11" s="102"/>
      <c r="I11" s="99">
        <f>+'[2]Attach B'!I8</f>
        <v>24500000</v>
      </c>
    </row>
    <row r="12" spans="1:9" x14ac:dyDescent="0.2">
      <c r="A12" s="98" t="s">
        <v>30</v>
      </c>
      <c r="B12" s="47"/>
      <c r="C12" s="99">
        <v>34623591</v>
      </c>
      <c r="D12" s="47"/>
      <c r="E12" s="99">
        <v>35000000</v>
      </c>
      <c r="F12" s="100"/>
      <c r="G12" s="101">
        <f>33969659+4327</f>
        <v>33973986</v>
      </c>
      <c r="H12" s="102"/>
      <c r="I12" s="99">
        <f>+'[2]Attach B'!I9</f>
        <v>35000000</v>
      </c>
    </row>
    <row r="13" spans="1:9" x14ac:dyDescent="0.2">
      <c r="A13" s="103" t="s">
        <v>31</v>
      </c>
      <c r="B13" s="47"/>
      <c r="C13" s="99">
        <v>27471950</v>
      </c>
      <c r="D13" s="47"/>
      <c r="E13" s="99">
        <v>29300000</v>
      </c>
      <c r="F13" s="100"/>
      <c r="G13" s="101">
        <v>24618177</v>
      </c>
      <c r="H13" s="102"/>
      <c r="I13" s="99">
        <f>+'[2]Attach B'!I10</f>
        <v>27500000</v>
      </c>
    </row>
    <row r="14" spans="1:9" x14ac:dyDescent="0.2">
      <c r="A14" s="98" t="s">
        <v>32</v>
      </c>
      <c r="B14" s="47"/>
      <c r="C14" s="99">
        <f>17065241+2669106</f>
        <v>19734347</v>
      </c>
      <c r="D14" s="47"/>
      <c r="E14" s="99">
        <v>29000000</v>
      </c>
      <c r="F14" s="100"/>
      <c r="G14" s="101">
        <f>21454006+4211753</f>
        <v>25665759</v>
      </c>
      <c r="H14" s="102"/>
      <c r="I14" s="99">
        <f>+'[2]Attach B'!I11</f>
        <v>27500000</v>
      </c>
    </row>
    <row r="15" spans="1:9" x14ac:dyDescent="0.2">
      <c r="A15" s="98" t="s">
        <v>33</v>
      </c>
      <c r="B15" s="47"/>
      <c r="C15" s="99">
        <v>660389</v>
      </c>
      <c r="D15" s="47"/>
      <c r="E15" s="99">
        <v>620000</v>
      </c>
      <c r="F15" s="100"/>
      <c r="G15" s="101">
        <v>319637</v>
      </c>
      <c r="H15" s="102"/>
      <c r="I15" s="99">
        <f>+'[2]Attach B'!I12</f>
        <v>630000</v>
      </c>
    </row>
    <row r="16" spans="1:9" ht="16" thickBot="1" x14ac:dyDescent="0.25">
      <c r="A16" s="52" t="s">
        <v>34</v>
      </c>
      <c r="B16" s="53"/>
      <c r="C16" s="104">
        <f>SUM(C10:C15)</f>
        <v>118986135</v>
      </c>
      <c r="D16" s="53"/>
      <c r="E16" s="104">
        <f>SUM(E10:E15)</f>
        <v>142920000</v>
      </c>
      <c r="F16" s="105"/>
      <c r="G16" s="104">
        <f>SUM(G10:G15)</f>
        <v>113210000</v>
      </c>
      <c r="H16" s="54"/>
      <c r="I16" s="104">
        <f>SUM(I10:I15)</f>
        <v>139130000</v>
      </c>
    </row>
    <row r="17" spans="1:9" ht="16" thickTop="1" x14ac:dyDescent="0.2">
      <c r="A17" s="106" t="s">
        <v>35</v>
      </c>
      <c r="B17" s="47"/>
      <c r="C17" s="107"/>
      <c r="D17" s="47"/>
      <c r="E17" s="107"/>
      <c r="F17" s="97"/>
      <c r="G17" s="107"/>
      <c r="H17" s="9"/>
      <c r="I17" s="107"/>
    </row>
    <row r="18" spans="1:9" x14ac:dyDescent="0.2">
      <c r="A18" s="50" t="s">
        <v>36</v>
      </c>
      <c r="B18" s="53"/>
      <c r="C18" s="108">
        <v>24615508</v>
      </c>
      <c r="D18" s="53"/>
      <c r="E18" s="108">
        <v>29245166</v>
      </c>
      <c r="F18" s="109"/>
      <c r="G18" s="108">
        <f>29445166</f>
        <v>29445166</v>
      </c>
      <c r="H18" s="109"/>
      <c r="I18" s="108">
        <f>+'[2]Attach B'!I15</f>
        <v>34000000</v>
      </c>
    </row>
    <row r="19" spans="1:9" x14ac:dyDescent="0.2">
      <c r="A19" s="50" t="s">
        <v>37</v>
      </c>
      <c r="B19" s="53"/>
      <c r="C19" s="108">
        <v>4251733</v>
      </c>
      <c r="D19" s="53"/>
      <c r="E19" s="108">
        <v>4251733</v>
      </c>
      <c r="F19" s="109"/>
      <c r="G19" s="108">
        <v>1062933</v>
      </c>
      <c r="H19" s="109"/>
      <c r="I19" s="108">
        <f>+'[2]Attach B'!I16</f>
        <v>0</v>
      </c>
    </row>
    <row r="20" spans="1:9" x14ac:dyDescent="0.2">
      <c r="A20" s="50" t="s">
        <v>38</v>
      </c>
      <c r="B20" s="53"/>
      <c r="C20" s="108">
        <v>792584</v>
      </c>
      <c r="D20" s="53"/>
      <c r="E20" s="108">
        <v>731800</v>
      </c>
      <c r="F20" s="109"/>
      <c r="G20" s="108">
        <v>731800</v>
      </c>
      <c r="H20" s="109"/>
      <c r="I20" s="108">
        <f>+'[2]Attach B'!I17</f>
        <v>790344</v>
      </c>
    </row>
    <row r="21" spans="1:9" x14ac:dyDescent="0.2">
      <c r="A21" s="50" t="s">
        <v>39</v>
      </c>
      <c r="B21" s="53"/>
      <c r="C21" s="108">
        <v>0</v>
      </c>
      <c r="D21" s="53"/>
      <c r="E21" s="108">
        <v>1000000</v>
      </c>
      <c r="F21" s="109"/>
      <c r="G21" s="108">
        <v>500000</v>
      </c>
      <c r="H21" s="109"/>
      <c r="I21" s="108">
        <f>+'[2]Attach B'!I18</f>
        <v>1080000</v>
      </c>
    </row>
    <row r="22" spans="1:9" x14ac:dyDescent="0.2">
      <c r="A22" s="50" t="s">
        <v>40</v>
      </c>
      <c r="B22" s="53"/>
      <c r="C22" s="108">
        <v>617275</v>
      </c>
      <c r="D22" s="53"/>
      <c r="E22" s="108">
        <v>666657</v>
      </c>
      <c r="F22" s="109"/>
      <c r="G22" s="108">
        <v>666657</v>
      </c>
      <c r="H22" s="109"/>
      <c r="I22" s="108">
        <f>+'[2]Attach B'!I19</f>
        <v>719989.56</v>
      </c>
    </row>
    <row r="23" spans="1:9" x14ac:dyDescent="0.2">
      <c r="A23" s="50" t="s">
        <v>41</v>
      </c>
      <c r="B23" s="53"/>
      <c r="C23" s="108">
        <v>0</v>
      </c>
      <c r="D23" s="53"/>
      <c r="E23" s="108">
        <f>+'[2]Attach B'!G20</f>
        <v>0</v>
      </c>
      <c r="F23" s="109"/>
      <c r="G23" s="108">
        <v>0</v>
      </c>
      <c r="H23" s="109"/>
      <c r="I23" s="108">
        <f>+'[2]Attach B'!I20</f>
        <v>768500</v>
      </c>
    </row>
    <row r="24" spans="1:9" x14ac:dyDescent="0.2">
      <c r="A24" s="59" t="s">
        <v>42</v>
      </c>
      <c r="B24" s="53"/>
      <c r="C24" s="57">
        <v>1629658</v>
      </c>
      <c r="D24" s="53"/>
      <c r="E24" s="57">
        <v>2000000</v>
      </c>
      <c r="F24" s="58"/>
      <c r="G24" s="57">
        <v>500000</v>
      </c>
      <c r="H24" s="58"/>
      <c r="I24" s="108">
        <f>+'[2]Attach B'!I21</f>
        <v>2000000</v>
      </c>
    </row>
    <row r="25" spans="1:9" x14ac:dyDescent="0.2">
      <c r="A25" s="60" t="s">
        <v>43</v>
      </c>
      <c r="B25" s="53"/>
      <c r="C25" s="61">
        <f>SUM(C18:C24)</f>
        <v>31906758</v>
      </c>
      <c r="D25" s="53"/>
      <c r="E25" s="61">
        <f>SUM(E18:E24)</f>
        <v>37895356</v>
      </c>
      <c r="F25" s="62"/>
      <c r="G25" s="61">
        <f>SUM(G18:G24)</f>
        <v>32906556</v>
      </c>
      <c r="H25" s="62"/>
      <c r="I25" s="61">
        <f>SUM(I18:I24)</f>
        <v>39358833.560000002</v>
      </c>
    </row>
    <row r="26" spans="1:9" x14ac:dyDescent="0.2">
      <c r="A26" s="60"/>
      <c r="B26" s="53"/>
      <c r="C26" s="57"/>
      <c r="D26" s="53"/>
      <c r="E26" s="57"/>
      <c r="F26" s="58"/>
      <c r="G26" s="57"/>
      <c r="H26" s="58"/>
      <c r="I26" s="57"/>
    </row>
    <row r="27" spans="1:9" x14ac:dyDescent="0.2">
      <c r="A27" s="63" t="s">
        <v>44</v>
      </c>
      <c r="B27" s="53"/>
      <c r="C27" s="108"/>
      <c r="D27" s="53"/>
      <c r="E27" s="108"/>
      <c r="F27" s="109"/>
      <c r="G27" s="108"/>
      <c r="H27" s="109"/>
      <c r="I27" s="108"/>
    </row>
    <row r="28" spans="1:9" x14ac:dyDescent="0.2">
      <c r="A28" s="56" t="s">
        <v>45</v>
      </c>
      <c r="B28" s="53"/>
      <c r="C28" s="108">
        <v>0</v>
      </c>
      <c r="D28" s="53"/>
      <c r="E28" s="108">
        <v>4360643.8114499999</v>
      </c>
      <c r="F28" s="109"/>
      <c r="G28" s="108">
        <v>2360644</v>
      </c>
      <c r="H28" s="109"/>
      <c r="I28" s="108">
        <f>+'[2]Attach B'!I25</f>
        <v>0</v>
      </c>
    </row>
    <row r="29" spans="1:9" hidden="1" outlineLevel="1" x14ac:dyDescent="0.2">
      <c r="A29" s="50" t="s">
        <v>46</v>
      </c>
      <c r="B29" s="53"/>
      <c r="C29" s="108"/>
      <c r="D29" s="53"/>
      <c r="E29" s="108">
        <v>0</v>
      </c>
      <c r="F29" s="109"/>
      <c r="G29" s="110">
        <v>0</v>
      </c>
      <c r="H29" s="109"/>
      <c r="I29" s="108"/>
    </row>
    <row r="30" spans="1:9" hidden="1" outlineLevel="1" x14ac:dyDescent="0.2">
      <c r="A30" s="50" t="s">
        <v>47</v>
      </c>
      <c r="B30" s="53"/>
      <c r="C30" s="108"/>
      <c r="D30" s="53"/>
      <c r="E30" s="108">
        <v>0</v>
      </c>
      <c r="F30" s="109"/>
      <c r="G30" s="110">
        <v>0</v>
      </c>
      <c r="H30" s="109"/>
      <c r="I30" s="108"/>
    </row>
    <row r="31" spans="1:9" ht="28" collapsed="1" x14ac:dyDescent="0.2">
      <c r="A31" s="64" t="s">
        <v>48</v>
      </c>
      <c r="B31" s="53"/>
      <c r="C31" s="108"/>
      <c r="D31" s="53"/>
      <c r="E31" s="108">
        <v>500000</v>
      </c>
      <c r="F31" s="109"/>
      <c r="G31" s="108">
        <v>400000</v>
      </c>
      <c r="H31" s="109"/>
      <c r="I31" s="108">
        <f>+'[2]Attach B'!I28</f>
        <v>1400000</v>
      </c>
    </row>
    <row r="32" spans="1:9" x14ac:dyDescent="0.2">
      <c r="A32" s="60" t="s">
        <v>49</v>
      </c>
      <c r="B32" s="53"/>
      <c r="C32" s="65">
        <f>SUM(C28:C31)</f>
        <v>0</v>
      </c>
      <c r="D32" s="53"/>
      <c r="E32" s="65">
        <f>SUM(E28:E31)</f>
        <v>4860643.8114499999</v>
      </c>
      <c r="F32" s="66"/>
      <c r="G32" s="65">
        <f>SUM(G28:G31)</f>
        <v>2760644</v>
      </c>
      <c r="H32" s="62"/>
      <c r="I32" s="67">
        <f>+I28+I31</f>
        <v>1400000</v>
      </c>
    </row>
    <row r="33" spans="1:9" ht="16" thickBot="1" x14ac:dyDescent="0.25">
      <c r="A33" s="111" t="s">
        <v>50</v>
      </c>
      <c r="B33" s="53"/>
      <c r="C33" s="112">
        <f>+C25+C32</f>
        <v>31906758</v>
      </c>
      <c r="D33" s="53"/>
      <c r="E33" s="112">
        <f>+E25+E32</f>
        <v>42755999.811449997</v>
      </c>
      <c r="F33" s="113"/>
      <c r="G33" s="112">
        <f>+G25+G32</f>
        <v>35667200</v>
      </c>
      <c r="H33" s="68"/>
      <c r="I33" s="112">
        <f>I25+I32</f>
        <v>40758833.560000002</v>
      </c>
    </row>
    <row r="34" spans="1:9" ht="16" thickTop="1" x14ac:dyDescent="0.2">
      <c r="A34" s="63" t="s">
        <v>51</v>
      </c>
      <c r="B34" s="53"/>
      <c r="C34" s="69"/>
      <c r="D34" s="53"/>
      <c r="E34" s="69"/>
      <c r="F34" s="70"/>
      <c r="G34" s="69"/>
      <c r="H34" s="70"/>
      <c r="I34" s="69"/>
    </row>
    <row r="35" spans="1:9" x14ac:dyDescent="0.2">
      <c r="A35" s="103" t="s">
        <v>52</v>
      </c>
      <c r="B35" s="47"/>
      <c r="C35" s="114">
        <f>3537105+7240</f>
        <v>3544345</v>
      </c>
      <c r="D35" s="47"/>
      <c r="E35" s="114">
        <v>3773584.4145438001</v>
      </c>
      <c r="F35" s="115"/>
      <c r="G35" s="51">
        <f>3773584.4145438-400000</f>
        <v>3373584.4145438001</v>
      </c>
      <c r="H35" s="102"/>
      <c r="I35" s="114">
        <f>+'[2]Attach B'!I34</f>
        <v>3689436</v>
      </c>
    </row>
    <row r="36" spans="1:9" x14ac:dyDescent="0.2">
      <c r="A36" s="50" t="s">
        <v>53</v>
      </c>
      <c r="B36" s="53"/>
      <c r="C36" s="108">
        <f>576089+768052</f>
        <v>1344141</v>
      </c>
      <c r="D36" s="53"/>
      <c r="E36" s="108">
        <v>2700000</v>
      </c>
      <c r="F36" s="109"/>
      <c r="G36" s="108">
        <v>2700000</v>
      </c>
      <c r="H36" s="109"/>
      <c r="I36" s="108">
        <f>+'[2]Attach B'!I32+6000000</f>
        <v>8916000</v>
      </c>
    </row>
    <row r="37" spans="1:9" hidden="1" outlineLevel="1" x14ac:dyDescent="0.2">
      <c r="A37" s="50" t="s">
        <v>91</v>
      </c>
      <c r="B37" s="53"/>
      <c r="C37" s="108"/>
      <c r="D37" s="53"/>
      <c r="E37" s="108">
        <v>0</v>
      </c>
      <c r="F37" s="109"/>
      <c r="G37" s="108">
        <v>0</v>
      </c>
      <c r="H37" s="109"/>
      <c r="I37" s="108">
        <v>0</v>
      </c>
    </row>
    <row r="38" spans="1:9" collapsed="1" x14ac:dyDescent="0.2">
      <c r="A38" s="98" t="s">
        <v>54</v>
      </c>
      <c r="B38" s="47"/>
      <c r="C38" s="101">
        <v>396539</v>
      </c>
      <c r="D38" s="47"/>
      <c r="E38" s="101">
        <v>26200</v>
      </c>
      <c r="F38" s="102"/>
      <c r="G38" s="101">
        <v>26200</v>
      </c>
      <c r="H38" s="102"/>
      <c r="I38" s="101">
        <f>+'[2]Attach B'!I35</f>
        <v>46200</v>
      </c>
    </row>
    <row r="39" spans="1:9" hidden="1" outlineLevel="1" x14ac:dyDescent="0.2">
      <c r="A39" s="116" t="s">
        <v>55</v>
      </c>
      <c r="B39" s="47"/>
      <c r="C39" s="101"/>
      <c r="D39" s="47"/>
      <c r="E39" s="101"/>
      <c r="F39" s="102"/>
      <c r="G39" s="101"/>
      <c r="H39" s="102"/>
      <c r="I39" s="101">
        <f>+'[2]Attach B'!I36</f>
        <v>0</v>
      </c>
    </row>
    <row r="40" spans="1:9" collapsed="1" x14ac:dyDescent="0.2">
      <c r="A40" s="103" t="s">
        <v>56</v>
      </c>
      <c r="B40" s="47"/>
      <c r="C40" s="101">
        <v>397426</v>
      </c>
      <c r="D40" s="47"/>
      <c r="E40" s="101">
        <v>289000</v>
      </c>
      <c r="F40" s="102"/>
      <c r="G40" s="101">
        <f>289000</f>
        <v>289000</v>
      </c>
      <c r="H40" s="102"/>
      <c r="I40" s="101">
        <f>+'[2]Attach B'!I37</f>
        <v>459590</v>
      </c>
    </row>
    <row r="41" spans="1:9" x14ac:dyDescent="0.2">
      <c r="A41" s="98" t="s">
        <v>57</v>
      </c>
      <c r="B41" s="47"/>
      <c r="C41" s="101">
        <f>58073-7240</f>
        <v>50833</v>
      </c>
      <c r="D41" s="47"/>
      <c r="E41" s="101">
        <v>401085</v>
      </c>
      <c r="F41" s="102"/>
      <c r="G41" s="101">
        <f>401085</f>
        <v>401085</v>
      </c>
      <c r="H41" s="102"/>
      <c r="I41" s="101">
        <f>+'[2]Attach B'!I38</f>
        <v>365000</v>
      </c>
    </row>
    <row r="42" spans="1:9" x14ac:dyDescent="0.2">
      <c r="A42" s="98" t="s">
        <v>58</v>
      </c>
      <c r="B42" s="47"/>
      <c r="C42" s="101">
        <f>33104+57115</f>
        <v>90219</v>
      </c>
      <c r="D42" s="47"/>
      <c r="E42" s="101">
        <v>307326</v>
      </c>
      <c r="F42" s="102"/>
      <c r="G42" s="101">
        <f>307326</f>
        <v>307326</v>
      </c>
      <c r="H42" s="102"/>
      <c r="I42" s="101">
        <f>+'[2]Attach B'!I39</f>
        <v>414868</v>
      </c>
    </row>
    <row r="43" spans="1:9" x14ac:dyDescent="0.2">
      <c r="A43" s="98" t="s">
        <v>59</v>
      </c>
      <c r="B43" s="47"/>
      <c r="C43" s="101"/>
      <c r="D43" s="47"/>
      <c r="E43" s="101">
        <v>0</v>
      </c>
      <c r="F43" s="102"/>
      <c r="G43" s="101"/>
      <c r="H43" s="102"/>
      <c r="I43" s="101">
        <f>+'[2]Attach B'!I40</f>
        <v>350000</v>
      </c>
    </row>
    <row r="44" spans="1:9" x14ac:dyDescent="0.2">
      <c r="A44" s="98" t="s">
        <v>60</v>
      </c>
      <c r="B44" s="47"/>
      <c r="C44" s="101">
        <f>53377+15753+1248394+46593</f>
        <v>1364117</v>
      </c>
      <c r="D44" s="47"/>
      <c r="E44" s="101">
        <v>739876</v>
      </c>
      <c r="F44" s="102"/>
      <c r="G44" s="101">
        <v>739876</v>
      </c>
      <c r="H44" s="102"/>
      <c r="I44" s="101">
        <f>+'[2]Attach B'!I41</f>
        <v>599320</v>
      </c>
    </row>
    <row r="45" spans="1:9" x14ac:dyDescent="0.2">
      <c r="A45" s="98" t="s">
        <v>61</v>
      </c>
      <c r="B45" s="47"/>
      <c r="C45" s="101">
        <v>0</v>
      </c>
      <c r="D45" s="47"/>
      <c r="E45" s="101">
        <v>903467</v>
      </c>
      <c r="F45" s="102"/>
      <c r="G45" s="101">
        <f>903467</f>
        <v>903467</v>
      </c>
      <c r="H45" s="102"/>
      <c r="I45" s="101">
        <f>+'[2]Attach B'!I43</f>
        <v>912501.67</v>
      </c>
    </row>
    <row r="46" spans="1:9" x14ac:dyDescent="0.2">
      <c r="A46" s="117" t="s">
        <v>62</v>
      </c>
      <c r="B46" s="47"/>
      <c r="C46" s="101">
        <f>316+8171+891+48711+362151+884+177906+258421+698+6000+46892+27310+15709+1229+7335</f>
        <v>962624</v>
      </c>
      <c r="D46" s="47"/>
      <c r="E46" s="101">
        <v>932020.6100000001</v>
      </c>
      <c r="F46" s="102"/>
      <c r="G46" s="101">
        <v>932020.6100000001</v>
      </c>
      <c r="H46" s="102"/>
      <c r="I46" s="101">
        <f>+'[2]Attach B'!I44</f>
        <v>1091890</v>
      </c>
    </row>
    <row r="47" spans="1:9" x14ac:dyDescent="0.2">
      <c r="A47" s="117" t="s">
        <v>63</v>
      </c>
      <c r="B47" s="47"/>
      <c r="C47" s="101">
        <f>16447+67688+17717</f>
        <v>101852</v>
      </c>
      <c r="D47" s="47"/>
      <c r="E47" s="101">
        <v>198694</v>
      </c>
      <c r="F47" s="102"/>
      <c r="G47" s="101">
        <f>198694</f>
        <v>198694</v>
      </c>
      <c r="H47" s="102"/>
      <c r="I47" s="101">
        <f>+'[2]Attach B'!I45</f>
        <v>133750</v>
      </c>
    </row>
    <row r="48" spans="1:9" x14ac:dyDescent="0.2">
      <c r="A48" s="117" t="s">
        <v>64</v>
      </c>
      <c r="B48" s="47"/>
      <c r="C48" s="101">
        <f>2048+2803+1722+1944+26174+788</f>
        <v>35479</v>
      </c>
      <c r="D48" s="47"/>
      <c r="E48" s="101">
        <v>47044.05</v>
      </c>
      <c r="F48" s="102"/>
      <c r="G48" s="101">
        <v>47044.05</v>
      </c>
      <c r="H48" s="102"/>
      <c r="I48" s="101">
        <f>+'[2]Attach B'!I46</f>
        <v>40285</v>
      </c>
    </row>
    <row r="49" spans="1:9" x14ac:dyDescent="0.2">
      <c r="A49" s="117" t="s">
        <v>65</v>
      </c>
      <c r="B49" s="47"/>
      <c r="C49" s="101">
        <v>0</v>
      </c>
      <c r="D49" s="47"/>
      <c r="E49" s="101">
        <f>+'[2]Attach B'!G47</f>
        <v>358713</v>
      </c>
      <c r="F49" s="102"/>
      <c r="G49" s="101">
        <f>+E49-42758</f>
        <v>315955</v>
      </c>
      <c r="H49" s="102"/>
      <c r="I49" s="101">
        <f>+'[2]Attach B'!I47</f>
        <v>315454.71999999997</v>
      </c>
    </row>
    <row r="50" spans="1:9" x14ac:dyDescent="0.2">
      <c r="A50" s="117" t="s">
        <v>66</v>
      </c>
      <c r="B50" s="47"/>
      <c r="C50" s="101">
        <v>0</v>
      </c>
      <c r="D50" s="47"/>
      <c r="E50" s="101">
        <v>0</v>
      </c>
      <c r="F50" s="102"/>
      <c r="G50" s="101">
        <v>0</v>
      </c>
      <c r="H50" s="102"/>
      <c r="I50" s="101">
        <f>+'[2]Attach B'!I48</f>
        <v>11125542.23</v>
      </c>
    </row>
    <row r="51" spans="1:9" x14ac:dyDescent="0.2">
      <c r="A51" s="50" t="s">
        <v>67</v>
      </c>
      <c r="B51" s="47"/>
      <c r="C51" s="101">
        <f>2285+16600+6+18280+361+19897+374+48377-72577</f>
        <v>33603</v>
      </c>
      <c r="D51" s="47"/>
      <c r="E51" s="101">
        <v>234892</v>
      </c>
      <c r="F51" s="102"/>
      <c r="G51" s="101">
        <f>+E51</f>
        <v>234892</v>
      </c>
      <c r="H51" s="102"/>
      <c r="I51" s="101">
        <f>+'[2]Attach B'!I49</f>
        <v>407480</v>
      </c>
    </row>
    <row r="52" spans="1:9" ht="16" thickBot="1" x14ac:dyDescent="0.25">
      <c r="A52" s="111" t="s">
        <v>68</v>
      </c>
      <c r="B52" s="47"/>
      <c r="C52" s="118">
        <f>SUM(C35:C51)</f>
        <v>8321178</v>
      </c>
      <c r="D52" s="47"/>
      <c r="E52" s="118">
        <f>SUM(E35:E51)</f>
        <v>10911902.0745438</v>
      </c>
      <c r="F52" s="105"/>
      <c r="G52" s="118">
        <f>SUM(G35:G51)</f>
        <v>10469144.0745438</v>
      </c>
      <c r="H52" s="54"/>
      <c r="I52" s="118">
        <f>SUM(I35:I51)</f>
        <v>28867317.620000001</v>
      </c>
    </row>
    <row r="53" spans="1:9" ht="16" thickTop="1" x14ac:dyDescent="0.2">
      <c r="A53" s="63" t="s">
        <v>69</v>
      </c>
      <c r="B53" s="47"/>
      <c r="C53" s="101"/>
      <c r="D53" s="47"/>
      <c r="E53" s="108"/>
      <c r="F53" s="109"/>
      <c r="G53" s="108"/>
      <c r="H53" s="109"/>
      <c r="I53" s="108"/>
    </row>
    <row r="54" spans="1:9" x14ac:dyDescent="0.2">
      <c r="A54" s="50" t="s">
        <v>70</v>
      </c>
      <c r="B54" s="47"/>
      <c r="C54" s="108">
        <v>1500000</v>
      </c>
      <c r="D54" s="47"/>
      <c r="E54" s="108">
        <v>0</v>
      </c>
      <c r="F54" s="109"/>
      <c r="G54" s="108">
        <v>0</v>
      </c>
      <c r="H54" s="109"/>
      <c r="I54" s="108">
        <f>+'[2]Attach B'!I52</f>
        <v>2840000</v>
      </c>
    </row>
    <row r="55" spans="1:9" x14ac:dyDescent="0.2">
      <c r="A55" s="50" t="s">
        <v>71</v>
      </c>
      <c r="B55" s="47"/>
      <c r="C55" s="108">
        <v>1380000</v>
      </c>
      <c r="D55" s="47"/>
      <c r="E55" s="108">
        <v>1417921.7196023331</v>
      </c>
      <c r="F55" s="109"/>
      <c r="G55" s="108">
        <v>1417921.7196023331</v>
      </c>
      <c r="H55" s="109"/>
      <c r="I55" s="108">
        <f>+'[2]Attach B'!I53</f>
        <v>1000000</v>
      </c>
    </row>
    <row r="56" spans="1:9" x14ac:dyDescent="0.2">
      <c r="A56" s="50" t="s">
        <v>72</v>
      </c>
      <c r="B56" s="47"/>
      <c r="C56" s="110">
        <v>6000000</v>
      </c>
      <c r="D56" s="47"/>
      <c r="E56" s="108">
        <v>4000000</v>
      </c>
      <c r="F56" s="109"/>
      <c r="G56" s="108">
        <v>36000000</v>
      </c>
      <c r="H56" s="109"/>
      <c r="I56" s="108">
        <v>20000000</v>
      </c>
    </row>
    <row r="57" spans="1:9" ht="16" thickBot="1" x14ac:dyDescent="0.25">
      <c r="A57" s="50" t="s">
        <v>73</v>
      </c>
      <c r="B57" s="47"/>
      <c r="C57" s="108"/>
      <c r="D57" s="47"/>
      <c r="E57" s="108">
        <v>23650586.541803896</v>
      </c>
      <c r="F57" s="109"/>
      <c r="G57" s="108"/>
      <c r="H57" s="109"/>
      <c r="I57" s="108">
        <v>13374631</v>
      </c>
    </row>
    <row r="58" spans="1:9" ht="16" thickBot="1" x14ac:dyDescent="0.25">
      <c r="A58" s="52" t="s">
        <v>74</v>
      </c>
      <c r="B58" s="47"/>
      <c r="C58" s="71">
        <f>SUM(C54:C57)</f>
        <v>8880000</v>
      </c>
      <c r="D58" s="47"/>
      <c r="E58" s="71">
        <f>SUM(E54:E57)</f>
        <v>29068508.261406228</v>
      </c>
      <c r="F58" s="72"/>
      <c r="G58" s="71">
        <f>SUM(G54:G57)</f>
        <v>37417921.719602332</v>
      </c>
      <c r="H58" s="72"/>
      <c r="I58" s="71">
        <f>SUM(I54:I57)</f>
        <v>37214631</v>
      </c>
    </row>
    <row r="59" spans="1:9" ht="16" thickTop="1" x14ac:dyDescent="0.2">
      <c r="A59" s="55" t="s">
        <v>75</v>
      </c>
      <c r="B59" s="47"/>
      <c r="C59" s="108"/>
      <c r="D59" s="47"/>
      <c r="E59" s="108"/>
      <c r="F59" s="109"/>
      <c r="G59" s="108"/>
      <c r="H59" s="109"/>
      <c r="I59" s="108"/>
    </row>
    <row r="60" spans="1:9" x14ac:dyDescent="0.2">
      <c r="A60" s="50" t="s">
        <v>76</v>
      </c>
      <c r="B60" s="47"/>
      <c r="C60" s="110">
        <v>975000</v>
      </c>
      <c r="D60" s="47"/>
      <c r="E60" s="108">
        <v>1000000</v>
      </c>
      <c r="F60" s="109"/>
      <c r="G60" s="108">
        <v>1000000</v>
      </c>
      <c r="H60" s="109"/>
      <c r="I60" s="108">
        <f>+'[2]Attach B'!I58</f>
        <v>1030000</v>
      </c>
    </row>
    <row r="61" spans="1:9" ht="16" thickBot="1" x14ac:dyDescent="0.25">
      <c r="A61" s="50" t="s">
        <v>77</v>
      </c>
      <c r="B61" s="47"/>
      <c r="C61" s="110">
        <v>402344</v>
      </c>
      <c r="D61" s="47"/>
      <c r="E61" s="108">
        <v>372795</v>
      </c>
      <c r="F61" s="109"/>
      <c r="G61" s="108">
        <v>372795</v>
      </c>
      <c r="H61" s="109"/>
      <c r="I61" s="108">
        <f>+'[2]Attach B'!I59</f>
        <v>342818</v>
      </c>
    </row>
    <row r="62" spans="1:9" ht="16" thickBot="1" x14ac:dyDescent="0.25">
      <c r="A62" s="52" t="s">
        <v>78</v>
      </c>
      <c r="B62" s="47"/>
      <c r="C62" s="71">
        <f>+C60+C61</f>
        <v>1377344</v>
      </c>
      <c r="D62" s="47"/>
      <c r="E62" s="71">
        <f>SUM(E60:E61)</f>
        <v>1372795</v>
      </c>
      <c r="F62" s="72"/>
      <c r="G62" s="71">
        <f>SUM(G60:G61)</f>
        <v>1372795</v>
      </c>
      <c r="H62" s="72"/>
      <c r="I62" s="71">
        <f>SUM(I60:I61)</f>
        <v>1372818</v>
      </c>
    </row>
    <row r="63" spans="1:9" ht="17" thickTop="1" thickBot="1" x14ac:dyDescent="0.25">
      <c r="A63" s="119" t="s">
        <v>79</v>
      </c>
      <c r="B63" s="47"/>
      <c r="C63" s="120">
        <f>+C62+C58+C52+C33+C16</f>
        <v>169471415</v>
      </c>
      <c r="D63" s="47"/>
      <c r="E63" s="121">
        <f>+E62+E58+E52+E33+E16</f>
        <v>227029205.14740002</v>
      </c>
      <c r="F63" s="122"/>
      <c r="G63" s="121">
        <f>+G62+G58+G52+G33+G16</f>
        <v>198137060.79414612</v>
      </c>
      <c r="H63" s="73"/>
      <c r="I63" s="121">
        <f>I16+I33+I52+I58+I62</f>
        <v>247343600.18000001</v>
      </c>
    </row>
    <row r="64" spans="1:9" ht="17" thickTop="1" thickBot="1" x14ac:dyDescent="0.25">
      <c r="A64" s="74"/>
      <c r="B64" s="47"/>
      <c r="C64" s="75"/>
      <c r="D64" s="47"/>
      <c r="E64" s="76"/>
      <c r="F64" s="77"/>
      <c r="G64" s="76"/>
      <c r="H64" s="123"/>
      <c r="I64" s="76"/>
    </row>
    <row r="65" spans="1:9" ht="17" thickBot="1" x14ac:dyDescent="0.25">
      <c r="A65" s="92" t="s">
        <v>80</v>
      </c>
      <c r="B65" s="48"/>
      <c r="C65" s="124"/>
      <c r="D65" s="48"/>
      <c r="E65" s="125"/>
      <c r="F65" s="126"/>
      <c r="G65" s="125"/>
      <c r="H65" s="78"/>
      <c r="I65" s="125"/>
    </row>
    <row r="66" spans="1:9" x14ac:dyDescent="0.2">
      <c r="A66" s="127" t="s">
        <v>81</v>
      </c>
      <c r="B66" s="47"/>
      <c r="C66" s="128"/>
      <c r="D66" s="47"/>
      <c r="E66" s="129"/>
      <c r="F66" s="130"/>
      <c r="G66" s="129"/>
      <c r="H66" s="131"/>
      <c r="I66" s="129"/>
    </row>
    <row r="67" spans="1:9" x14ac:dyDescent="0.2">
      <c r="A67" s="103" t="s">
        <v>52</v>
      </c>
      <c r="B67" s="47"/>
      <c r="C67" s="51">
        <f>7215701-76786</f>
        <v>7138915</v>
      </c>
      <c r="D67" s="47"/>
      <c r="E67" s="57">
        <v>4413182.8044467513</v>
      </c>
      <c r="F67" s="58"/>
      <c r="G67" s="57">
        <f>4413182.80444675-800000-39869+180</f>
        <v>3573493.8044467503</v>
      </c>
      <c r="H67" s="109"/>
      <c r="I67" s="57">
        <f>+'[2]Attach B'!I65</f>
        <v>4690997</v>
      </c>
    </row>
    <row r="68" spans="1:9" x14ac:dyDescent="0.2">
      <c r="A68" s="103" t="s">
        <v>54</v>
      </c>
      <c r="B68" s="47"/>
      <c r="C68" s="101">
        <v>718256</v>
      </c>
      <c r="D68" s="47"/>
      <c r="E68" s="108">
        <v>926200</v>
      </c>
      <c r="F68" s="109"/>
      <c r="G68" s="108">
        <v>926200</v>
      </c>
      <c r="H68" s="109"/>
      <c r="I68" s="57">
        <f>+'[2]Attach B'!I66</f>
        <v>1198320</v>
      </c>
    </row>
    <row r="69" spans="1:9" x14ac:dyDescent="0.2">
      <c r="A69" s="103" t="s">
        <v>56</v>
      </c>
      <c r="B69" s="47"/>
      <c r="C69" s="101">
        <v>607126</v>
      </c>
      <c r="D69" s="47"/>
      <c r="E69" s="108">
        <v>1208800</v>
      </c>
      <c r="F69" s="109"/>
      <c r="G69" s="108">
        <v>1208800</v>
      </c>
      <c r="H69" s="109"/>
      <c r="I69" s="57">
        <f>+'[2]Attach B'!I67</f>
        <v>1026500</v>
      </c>
    </row>
    <row r="70" spans="1:9" x14ac:dyDescent="0.2">
      <c r="A70" s="103" t="s">
        <v>82</v>
      </c>
      <c r="B70" s="47"/>
      <c r="C70" s="101">
        <v>91234</v>
      </c>
      <c r="D70" s="47"/>
      <c r="E70" s="108">
        <v>105000</v>
      </c>
      <c r="F70" s="109"/>
      <c r="G70" s="108">
        <v>105000</v>
      </c>
      <c r="H70" s="109"/>
      <c r="I70" s="57">
        <f>+'[2]Attach B'!I68</f>
        <v>110000</v>
      </c>
    </row>
    <row r="71" spans="1:9" x14ac:dyDescent="0.2">
      <c r="A71" s="103" t="s">
        <v>83</v>
      </c>
      <c r="B71" s="47"/>
      <c r="C71" s="101">
        <f>29660+4447+47047+50300+115016-7240</f>
        <v>239230</v>
      </c>
      <c r="D71" s="47"/>
      <c r="E71" s="108">
        <v>249920</v>
      </c>
      <c r="F71" s="109"/>
      <c r="G71" s="108">
        <v>249920</v>
      </c>
      <c r="H71" s="109"/>
      <c r="I71" s="57">
        <f>+'[2]Attach B'!I69</f>
        <v>165150</v>
      </c>
    </row>
    <row r="72" spans="1:9" x14ac:dyDescent="0.2">
      <c r="A72" s="50" t="s">
        <v>57</v>
      </c>
      <c r="B72" s="47"/>
      <c r="C72" s="101">
        <f>27022+910+90000+320538+76786</f>
        <v>515256</v>
      </c>
      <c r="D72" s="47"/>
      <c r="E72" s="108">
        <v>483200</v>
      </c>
      <c r="F72" s="109"/>
      <c r="G72" s="108">
        <v>483200</v>
      </c>
      <c r="H72" s="109"/>
      <c r="I72" s="57">
        <f>+'[2]Attach B'!I70</f>
        <v>495000</v>
      </c>
    </row>
    <row r="73" spans="1:9" x14ac:dyDescent="0.2">
      <c r="A73" s="103" t="s">
        <v>58</v>
      </c>
      <c r="B73" s="47"/>
      <c r="C73" s="101">
        <f>81769+60067</f>
        <v>141836</v>
      </c>
      <c r="D73" s="47"/>
      <c r="E73" s="108">
        <v>192400</v>
      </c>
      <c r="F73" s="109"/>
      <c r="G73" s="108">
        <v>192400</v>
      </c>
      <c r="H73" s="109"/>
      <c r="I73" s="57">
        <f>+'[2]Attach B'!I71</f>
        <v>194800</v>
      </c>
    </row>
    <row r="74" spans="1:9" x14ac:dyDescent="0.2">
      <c r="A74" s="103" t="s">
        <v>60</v>
      </c>
      <c r="B74" s="47"/>
      <c r="C74" s="101">
        <f>44788+67150+2419+72815+10704</f>
        <v>197876</v>
      </c>
      <c r="D74" s="47"/>
      <c r="E74" s="108">
        <v>273348</v>
      </c>
      <c r="F74" s="109"/>
      <c r="G74" s="108">
        <v>273348</v>
      </c>
      <c r="H74" s="109"/>
      <c r="I74" s="57">
        <f>+'[2]Attach B'!I72</f>
        <v>308096</v>
      </c>
    </row>
    <row r="75" spans="1:9" x14ac:dyDescent="0.2">
      <c r="A75" s="103" t="s">
        <v>84</v>
      </c>
      <c r="B75" s="47"/>
      <c r="C75" s="101">
        <v>38993</v>
      </c>
      <c r="D75" s="47"/>
      <c r="E75" s="108">
        <v>157500</v>
      </c>
      <c r="F75" s="109"/>
      <c r="G75" s="108">
        <v>157500</v>
      </c>
      <c r="H75" s="109"/>
      <c r="I75" s="57">
        <f>+'[2]Attach B'!I73</f>
        <v>150030</v>
      </c>
    </row>
    <row r="76" spans="1:9" x14ac:dyDescent="0.2">
      <c r="A76" s="103" t="s">
        <v>62</v>
      </c>
      <c r="B76" s="47"/>
      <c r="C76" s="101">
        <f>5964+34222+6882+1828+22304+13814+49939</f>
        <v>134953</v>
      </c>
      <c r="D76" s="47"/>
      <c r="E76" s="108">
        <v>204930</v>
      </c>
      <c r="F76" s="109"/>
      <c r="G76" s="108">
        <v>204930</v>
      </c>
      <c r="H76" s="109"/>
      <c r="I76" s="57">
        <f>+'[2]Attach B'!I74</f>
        <v>147000</v>
      </c>
    </row>
    <row r="77" spans="1:9" x14ac:dyDescent="0.2">
      <c r="A77" s="103" t="s">
        <v>63</v>
      </c>
      <c r="B77" s="47"/>
      <c r="C77" s="132">
        <f>4303+14471+28064</f>
        <v>46838</v>
      </c>
      <c r="D77" s="47"/>
      <c r="E77" s="108">
        <v>136560</v>
      </c>
      <c r="F77" s="109"/>
      <c r="G77" s="108">
        <v>136560</v>
      </c>
      <c r="H77" s="109"/>
      <c r="I77" s="57">
        <f>+'[2]Attach B'!I75</f>
        <v>117820</v>
      </c>
    </row>
    <row r="78" spans="1:9" x14ac:dyDescent="0.2">
      <c r="A78" s="50" t="s">
        <v>64</v>
      </c>
      <c r="B78" s="47"/>
      <c r="C78" s="132">
        <f>5170+3181+89674+12213+23332+264</f>
        <v>133834</v>
      </c>
      <c r="D78" s="47"/>
      <c r="E78" s="133">
        <v>259625</v>
      </c>
      <c r="F78" s="109"/>
      <c r="G78" s="133">
        <v>259625</v>
      </c>
      <c r="H78" s="109"/>
      <c r="I78" s="57">
        <f>+'[2]Attach B'!I76</f>
        <v>176495</v>
      </c>
    </row>
    <row r="79" spans="1:9" ht="16" thickBot="1" x14ac:dyDescent="0.25">
      <c r="A79" s="103" t="s">
        <v>67</v>
      </c>
      <c r="B79" s="47"/>
      <c r="C79" s="134">
        <f>7242+35211+32293+25469+15560+25480+25000+3745-72577</f>
        <v>97423</v>
      </c>
      <c r="D79" s="47"/>
      <c r="E79" s="135">
        <v>532850</v>
      </c>
      <c r="F79" s="109"/>
      <c r="G79" s="135">
        <v>532850</v>
      </c>
      <c r="H79" s="109"/>
      <c r="I79" s="57">
        <f>+'[2]Attach B'!I77</f>
        <v>541630</v>
      </c>
    </row>
    <row r="80" spans="1:9" ht="16" thickBot="1" x14ac:dyDescent="0.25">
      <c r="A80" s="119" t="s">
        <v>85</v>
      </c>
      <c r="B80" s="47"/>
      <c r="C80" s="120">
        <f>SUM(C67:C79)</f>
        <v>10101770</v>
      </c>
      <c r="D80" s="47"/>
      <c r="E80" s="121">
        <f>SUM(E67:E79)</f>
        <v>9143515.8044467513</v>
      </c>
      <c r="F80" s="122"/>
      <c r="G80" s="121">
        <f>SUM(G67:G79)</f>
        <v>8303826.8044467503</v>
      </c>
      <c r="H80" s="73"/>
      <c r="I80" s="121">
        <f>SUM(I67:I79)</f>
        <v>9321838</v>
      </c>
    </row>
    <row r="81" spans="1:9" ht="17" thickTop="1" thickBot="1" x14ac:dyDescent="0.25">
      <c r="A81" s="79"/>
      <c r="B81" s="47"/>
      <c r="C81" s="80"/>
      <c r="D81" s="47"/>
      <c r="E81" s="81"/>
      <c r="F81" s="73"/>
      <c r="G81" s="81"/>
      <c r="H81" s="73"/>
      <c r="I81" s="81"/>
    </row>
    <row r="82" spans="1:9" ht="17" thickBot="1" x14ac:dyDescent="0.25">
      <c r="A82" s="92" t="s">
        <v>86</v>
      </c>
      <c r="B82" s="47"/>
      <c r="C82" s="93"/>
      <c r="D82" s="47"/>
      <c r="E82" s="136"/>
      <c r="F82" s="126"/>
      <c r="G82" s="136"/>
      <c r="H82" s="78"/>
      <c r="I82" s="136"/>
    </row>
    <row r="83" spans="1:9" x14ac:dyDescent="0.2">
      <c r="A83" s="82" t="s">
        <v>87</v>
      </c>
      <c r="B83" s="47"/>
      <c r="C83" s="137">
        <v>836339</v>
      </c>
      <c r="D83" s="47"/>
      <c r="E83" s="138">
        <v>970200</v>
      </c>
      <c r="F83" s="139"/>
      <c r="G83" s="138">
        <v>970200</v>
      </c>
      <c r="H83" s="109"/>
      <c r="I83" s="57">
        <f>+'[2]Attach B'!I81</f>
        <v>1018710</v>
      </c>
    </row>
    <row r="84" spans="1:9" ht="16" thickBot="1" x14ac:dyDescent="0.25">
      <c r="A84" s="50" t="s">
        <v>88</v>
      </c>
      <c r="B84" s="47"/>
      <c r="C84" s="137">
        <v>608175</v>
      </c>
      <c r="D84" s="47"/>
      <c r="E84" s="138">
        <v>682560</v>
      </c>
      <c r="F84" s="139"/>
      <c r="G84" s="138">
        <v>682560</v>
      </c>
      <c r="H84" s="109"/>
      <c r="I84" s="57">
        <f>+'[2]Attach B'!I82</f>
        <v>684500</v>
      </c>
    </row>
    <row r="85" spans="1:9" ht="16" thickBot="1" x14ac:dyDescent="0.25">
      <c r="A85" s="140" t="s">
        <v>89</v>
      </c>
      <c r="B85" s="47"/>
      <c r="C85" s="141">
        <f>SUM(C83:C84)</f>
        <v>1444514</v>
      </c>
      <c r="D85" s="47"/>
      <c r="E85" s="142">
        <f>SUM(E83:E84)</f>
        <v>1652760</v>
      </c>
      <c r="F85" s="143"/>
      <c r="G85" s="142">
        <f>SUM(G83:G84)</f>
        <v>1652760</v>
      </c>
      <c r="H85" s="77"/>
      <c r="I85" s="142">
        <f>SUM(I83:I84)</f>
        <v>1703210</v>
      </c>
    </row>
    <row r="86" spans="1:9" ht="17" thickBot="1" x14ac:dyDescent="0.25">
      <c r="A86" s="144" t="s">
        <v>90</v>
      </c>
      <c r="B86" s="47"/>
      <c r="C86" s="145">
        <f>+C85+C80+C63</f>
        <v>181017699</v>
      </c>
      <c r="D86" s="47"/>
      <c r="E86" s="146">
        <f>+E85+E80+E63</f>
        <v>237825480.95184678</v>
      </c>
      <c r="F86" s="147"/>
      <c r="G86" s="146">
        <f>+G85+G80+G63</f>
        <v>208093647.59859288</v>
      </c>
      <c r="H86" s="78"/>
      <c r="I86" s="146">
        <f>I63+I80+I85</f>
        <v>258368648.18000001</v>
      </c>
    </row>
  </sheetData>
  <pageMargins left="0.7" right="0.7" top="0.75" bottom="0.75" header="0.3" footer="0.3"/>
  <pageSetup fitToHeight="3" orientation="landscape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Attachment A</vt:lpstr>
      <vt:lpstr>Attachment B</vt:lpstr>
      <vt:lpstr>'Attachment A'!Print_Area</vt:lpstr>
      <vt:lpstr>'Attachment B'!Print_Area</vt:lpstr>
    </vt:vector>
  </TitlesOfParts>
  <Company>TCHD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Melanie</dc:creator>
  <cp:lastModifiedBy>Michael McKinnon</cp:lastModifiedBy>
  <cp:lastPrinted>2018-10-02T16:11:22Z</cp:lastPrinted>
  <dcterms:created xsi:type="dcterms:W3CDTF">2018-09-13T14:00:17Z</dcterms:created>
  <dcterms:modified xsi:type="dcterms:W3CDTF">2018-10-02T16:11:34Z</dcterms:modified>
</cp:coreProperties>
</file>